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a.martin\Documents\Capshare\"/>
    </mc:Choice>
  </mc:AlternateContent>
  <xr:revisionPtr revIDLastSave="0" documentId="8_{990097A5-F811-4147-9616-FC9B625B011B}" xr6:coauthVersionLast="44" xr6:coauthVersionMax="44" xr10:uidLastSave="{00000000-0000-0000-0000-000000000000}"/>
  <bookViews>
    <workbookView xWindow="-108" yWindow="-108" windowWidth="23256" windowHeight="12576" tabRatio="771" firstSheet="5" activeTab="5" xr2:uid="{00000000-000D-0000-FFFF-FFFF00000000}"/>
  </bookViews>
  <sheets>
    <sheet name="Cap Table - All Securityholders" sheetId="45" state="hidden" r:id="rId1"/>
    <sheet name="Series A Summary Cap Table" sheetId="44" state="hidden" r:id="rId2"/>
    <sheet name="Series A Holders" sheetId="46" state="hidden" r:id="rId3"/>
    <sheet name="Buildup_BS" sheetId="42" state="hidden" r:id="rId4"/>
    <sheet name="Buildup_IS" sheetId="43" state="hidden" r:id="rId5"/>
    <sheet name="Inputs" sheetId="47" r:id="rId6"/>
    <sheet name="IncomeStatement" sheetId="16" r:id="rId7"/>
    <sheet name="BalanceSheet" sheetId="17" r:id="rId8"/>
    <sheet name="CashFlow" sheetId="18" r:id="rId9"/>
    <sheet name="D&amp;A" sheetId="19" r:id="rId10"/>
    <sheet name="WC" sheetId="21" r:id="rId11"/>
    <sheet name="D-E" sheetId="23" r:id="rId12"/>
  </sheets>
  <definedNames>
    <definedName name="__IntlFixup" hidden="1">TRUE</definedName>
    <definedName name="__IntlFixupTable" hidden="1">#REF!</definedName>
    <definedName name="_xlnm._FilterDatabase" localSheetId="0" hidden="1">'Cap Table - All Securityholders'!$A$4:$Y$29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40583.6017476852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7">BalanceSheet!$A$1:$Q$41</definedName>
    <definedName name="_xlnm.Print_Area" localSheetId="0">'Cap Table - All Securityholders'!$A$1:$H$32</definedName>
    <definedName name="_xlnm.Print_Area" localSheetId="8">CashFlow!$A$1:$P$35</definedName>
    <definedName name="_xlnm.Print_Area" localSheetId="6">IncomeStatement!$A$1:$Q$44</definedName>
    <definedName name="solver_adj" localSheetId="11" hidden="1">'D-E'!$L$23</definedName>
    <definedName name="solver_cvg" localSheetId="11" hidden="1">0.0001</definedName>
    <definedName name="solver_drv" localSheetId="11" hidden="1">1</definedName>
    <definedName name="solver_est" localSheetId="11" hidden="1">1</definedName>
    <definedName name="solver_itr" localSheetId="11" hidden="1">100</definedName>
    <definedName name="solver_lin" localSheetId="11" hidden="1">2</definedName>
    <definedName name="solver_neg" localSheetId="11" hidden="1">2</definedName>
    <definedName name="solver_num" localSheetId="11" hidden="1">0</definedName>
    <definedName name="solver_nwt" localSheetId="11" hidden="1">1</definedName>
    <definedName name="solver_opt" localSheetId="11" hidden="1">'D-E'!$L$25</definedName>
    <definedName name="solver_pre" localSheetId="11" hidden="1">0.000001</definedName>
    <definedName name="solver_scl" localSheetId="11" hidden="1">2</definedName>
    <definedName name="solver_sho" localSheetId="11" hidden="1">2</definedName>
    <definedName name="solver_tim" localSheetId="11" hidden="1">100</definedName>
    <definedName name="solver_tol" localSheetId="11" hidden="1">0.05</definedName>
    <definedName name="solver_typ" localSheetId="11" hidden="1">3</definedName>
    <definedName name="solver_val" localSheetId="11" hidden="1">1218</definedName>
    <definedName name="sss" hidden="1">{"whole",#N/A,FALSE,"Gen_Dist_Act_Bud";"whole",#N/A,FALSE,"Gen_Dist_T3months";"whole",#N/A,FALSE,"GD_PerP";"whole",#N/A,FALSE,"HR Dist'n"}</definedName>
    <definedName name="wrn.6713_Financials." hidden="1">{#N/A,#N/A,FALSE,"Summary";#N/A,#N/A,FALSE,"Details";#N/A,#N/A,FALSE,"Month-Hd";#N/A,#N/A,FALSE,"YTD-Hd";#N/A,#N/A,FALSE,"Capital"}</definedName>
    <definedName name="wrn.Field_PSS." hidden="1">{#N/A,#N/A,FALSE,"Summary";#N/A,#N/A,FALSE,"Expense";#N/A,#N/A,FALSE,"Capital"}</definedName>
    <definedName name="wrn.GenDistPac." hidden="1">{"whole",#N/A,FALSE,"Gen_Dist_Act_Bud";"whole",#N/A,FALSE,"Gen_Dist_T3months";"whole",#N/A,FALSE,"GD_PerP";"whole",#N/A,FALSE,"HR_Dist";"whole",#N/A,FALSE,"CS_DIST_ActvsBud";"whole",#N/A,FALSE,"CS_DIST_SUM_trail3mo";"whole",#N/A,FALSE,"ITG_act_Bud";"whole",#N/A,FALSE,"ITG_T3Mo"}</definedName>
    <definedName name="wrn.HR_Details." hidden="1">{"whole",#N/A,FALSE,"6701";"whole",#N/A,FALSE,"6702";"whole",#N/A,FALSE,"7710";"whole",#N/A,FALSE,"7714";"whole",#N/A,FALSE,"7729";"whole",#N/A,FALSE,"7730";"whole",#N/A,FALSE,"7731";"whole",#N/A,FALSE,"7736";"whole",#N/A,FALSE,"7737";"whole",#N/A,FALSE,"7738";"whole",#N/A,FALSE,"7743";"Whole",#N/A,FALSE,"7740";"whole",#N/A,FALSE,"7744";"whole",#N/A,FALSE,"7745"}</definedName>
    <definedName name="wrn.HR_HR" hidden="1">{"whole",#N/A,FALSE,"6701";"whole",#N/A,FALSE,"6702";"whole",#N/A,FALSE,"7710";"whole",#N/A,FALSE,"7714";"whole",#N/A,FALSE,"7729";"whole",#N/A,FALSE,"7730";"whole",#N/A,FALSE,"7731";"whole",#N/A,FALSE,"7736";"whole",#N/A,FALSE,"7737";"whole",#N/A,FALSE,"7738";"whole",#N/A,FALSE,"7743";"Whole",#N/A,FALSE,"7740";"whole",#N/A,FALSE,"7744";"whole",#N/A,FALSE,"7745"}</definedName>
    <definedName name="wrn.Mikemur." hidden="1">{"whole",#N/A,FALSE,"HR HC";"whole",#N/A,FALSE,"HRDEPT_act_v_BUD";"whole",#N/A,FALSE,"HRTrail3mo";"whole",#N/A,FALSE,"HR_Cost Per Head";"whole",#N/A,FALSE,"HR CPH YTD";"whole",#N/A,FALSE,"CostperNewbies";"whole",#N/A,FALSE,"Benefits Per Head";"whole",#N/A,FALSE,"6701";"whole",#N/A,FALSE,"6702";"whole",#N/A,FALSE,"7710";"whole",#N/A,FALSE,"7714";"whole",#N/A,FALSE,"7729";"whole",#N/A,FALSE,"7730";"whole",#N/A,FALSE,"7731";"whole",#N/A,FALSE,"7732";"whole",#N/A,FALSE,"7733";"whole",#N/A,FALSE,"7734";"whole",#N/A,FALSE,"7735";"whole",#N/A,FALSE,"7736";"whole",#N/A,FALSE,"7737";"whole",#N/A,FALSE,"7738";"Whole",#N/A,FALSE,"7740";"whole",#N/A,FALSE,"7743";"whole",#N/A,FALSE,"7744";"whole",#N/A,FALSE,"7745"}</definedName>
    <definedName name="wrn.Mikemurdist." hidden="1">{"whole",#N/A,FALSE,"Gen_Dist_Act_Bud";"whole",#N/A,FALSE,"Gen_Dist_T3months";"whole",#N/A,FALSE,"GD_PerP";"whole",#N/A,FALSE,"HR Dist'n"}</definedName>
    <definedName name="wrn.MYR._.Template." hidden="1">{"Title",#N/A,FALSE,"Title";"OrgChart",#N/A,FALSE,"#5-OrgChart";"Commentary",#N/A,FALSE,"#7-High-Low";"Headcount",#N/A,FALSE,"HC";"Spending",#N/A,FALSE,"Spending";"ContrExpense",#N/A,FALSE,"G&amp;A";"Distribution",#N/A,FALSE,"Distribution";"Appendix Header",#N/A,FALSE,"Appendix";"Capital",#N/A,FALSE,"Capital";"HC Appendix\",#N/A,FALSE,"HC Appendix";"Store",#N/A,FALSE,"Store Appendix";"Travel",#N/A,FALSE,"Travel Appendix";"Misc",#N/A,FALSE,"Misc";"Contracts",#N/A,FALSE,"Contracts Appendix";"Facilities",#N/A,FALSE,"Facilities";"PPR",#N/A,FALSE,"PPR"}</definedName>
    <definedName name="wrn.Roxanna." hidden="1">{"whole",#N/A,FALSE,"CS HC";"whole",#N/A,FALSE,"CS_ACTvsBud";"whole",#N/A,FALSE,"CSTrail3mo";"whole",#N/A,FALSE,"CS Cost Per Head ";"whole",#N/A,FALSE,"CS CPH YTD"}</definedName>
    <definedName name="wrn.Roxydist." hidden="1">{"whole",#N/A,FALSE,"CS FIN Sum For Rox";"whole",#N/A,FALSE,"Gen_Dist_Act_Bud";"whole",#N/A,FALSE,"Gen_Dist_T3months";"whole",#N/A,FALSE,"GD_PerP";"whole",#N/A,FALSE,"CS_DIST_ActvsBud";"whole",#N/A,FALSE,"CS_DIST_SUM_trail3mo"}</definedName>
    <definedName name="wrn.Run._.Rates." hidden="1">{"Chart 1",#N/A,FALSE,"Run Rate";"Chart 2",#N/A,FALSE,"Run Rate (2)"}</definedName>
    <definedName name="www" hidden="1">{"whole",#N/A,FALSE,"HR HC";"whole",#N/A,FALSE,"HRDEPT_act_v_BUD";"whole",#N/A,FALSE,"HRTrail3mo";"whole",#N/A,FALSE,"HR_Cost Per Head";"whole",#N/A,FALSE,"HR CPH YTD";"whole",#N/A,FALSE,"CostperNewbies";"whole",#N/A,FALSE,"Benefits Per Head";"whole",#N/A,FALSE,"6701";"whole",#N/A,FALSE,"6702";"whole",#N/A,FALSE,"7710";"whole",#N/A,FALSE,"7714";"whole",#N/A,FALSE,"7729";"whole",#N/A,FALSE,"7730";"whole",#N/A,FALSE,"7731";"whole",#N/A,FALSE,"7732";"whole",#N/A,FALSE,"7733";"whole",#N/A,FALSE,"7734";"whole",#N/A,FALSE,"7735";"whole",#N/A,FALSE,"7736";"whole",#N/A,FALSE,"7737";"whole",#N/A,FALSE,"7738";"Whole",#N/A,FALSE,"7740";"whole",#N/A,FALSE,"7743";"whole",#N/A,FALSE,"7744";"whole",#N/A,FALSE,"7745"}</definedName>
    <definedName name="www.mike" hidden="1">{"whole",#N/A,FALSE,"Gen_Dist_Act_Bud";"whole",#N/A,FALSE,"Gen_Dist_T3months";"whole",#N/A,FALSE,"GD_PerP";"whole",#N/A,FALSE,"HR Dist'n"}</definedName>
    <definedName name="www.myr" hidden="1">{"Title",#N/A,FALSE,"Title";"OrgChart",#N/A,FALSE,"#5-OrgChart";"Commentary",#N/A,FALSE,"#7-High-Low";"Headcount",#N/A,FALSE,"HC";"Spending",#N/A,FALSE,"Spending";"ContrExpense",#N/A,FALSE,"G&amp;A";"Distribution",#N/A,FALSE,"Distribution";"Appendix Header",#N/A,FALSE,"Appendix";"Capital",#N/A,FALSE,"Capital";"HC Appendix\",#N/A,FALSE,"HC Appendix";"Store",#N/A,FALSE,"Store Appendix";"Travel",#N/A,FALSE,"Travel Appendix";"Misc",#N/A,FALSE,"Misc";"Contracts",#N/A,FALSE,"Contracts Appendix";"Facilities",#N/A,FALSE,"Facilities";"PPR",#N/A,FALSE,"PPR"}</definedName>
    <definedName name="www.run" hidden="1">{"Chart 1",#N/A,FALSE,"Run Rate";"Chart 2",#N/A,FALSE,"Run Rate (2)"}</definedName>
    <definedName name="www.ww" hidden="1">{"whole",#N/A,FALSE,"CS FIN Sum For Rox";"whole",#N/A,FALSE,"Gen_Dist_Act_Bud";"whole",#N/A,FALSE,"Gen_Dist_T3months";"whole",#N/A,FALSE,"GD_PerP";"whole",#N/A,FALSE,"CS_DIST_ActvsBud";"whole",#N/A,FALSE,"CS_DIST_SUM_trail3mo"}</definedName>
    <definedName name="xxx" hidden="1">{"whole",#N/A,FALSE,"Gen_Dist_Act_Bud";"whole",#N/A,FALSE,"Gen_Dist_T3months";"whole",#N/A,FALSE,"GD_PerP";"whole",#N/A,FALSE,"HR_Dist";"whole",#N/A,FALSE,"CS_DIST_ActvsBud";"whole",#N/A,FALSE,"CS_DIST_SUM_trail3mo";"whole",#N/A,FALSE,"ITG_act_Bud";"whole",#N/A,FALSE,"ITG_T3Mo"}</definedName>
  </definedNames>
  <calcPr calcId="181029" iterate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1" i="23" l="1"/>
  <c r="K69" i="23"/>
  <c r="L68" i="23"/>
  <c r="B68" i="23"/>
  <c r="J7" i="17"/>
  <c r="B6" i="17"/>
  <c r="L6" i="17"/>
  <c r="B6" i="18"/>
  <c r="K6" i="18"/>
  <c r="M2" i="21"/>
  <c r="K3" i="21"/>
  <c r="K3" i="23"/>
  <c r="B3" i="23"/>
  <c r="B2" i="23"/>
  <c r="L2" i="23"/>
  <c r="K36" i="19"/>
  <c r="L35" i="19"/>
  <c r="L2" i="19"/>
  <c r="L6" i="16"/>
  <c r="B6" i="16"/>
  <c r="B36" i="19"/>
  <c r="B35" i="19"/>
  <c r="B3" i="19"/>
  <c r="B2" i="19"/>
  <c r="K3" i="19"/>
  <c r="C2" i="46"/>
  <c r="D19" i="45"/>
  <c r="C3" i="46"/>
  <c r="D20" i="45"/>
  <c r="C4" i="46"/>
  <c r="D21" i="45"/>
  <c r="C5" i="46"/>
  <c r="D22" i="45"/>
  <c r="C6" i="46"/>
  <c r="D23" i="45"/>
  <c r="C7" i="46"/>
  <c r="D24" i="45"/>
  <c r="C8" i="46"/>
  <c r="D25" i="45"/>
  <c r="C9" i="46"/>
  <c r="D26" i="45"/>
  <c r="D29" i="45"/>
  <c r="D30" i="45"/>
  <c r="J3" i="23"/>
  <c r="I3" i="23"/>
  <c r="L3" i="23"/>
  <c r="M3" i="23"/>
  <c r="N3" i="23"/>
  <c r="O3" i="23"/>
  <c r="P3" i="23"/>
  <c r="M81" i="23"/>
  <c r="M73" i="23"/>
  <c r="N81" i="23"/>
  <c r="N73" i="23"/>
  <c r="L7" i="23"/>
  <c r="M7" i="23"/>
  <c r="N7" i="23"/>
  <c r="O7" i="23"/>
  <c r="P7" i="23"/>
  <c r="L10" i="23"/>
  <c r="M10" i="23"/>
  <c r="N10" i="23"/>
  <c r="O10" i="23"/>
  <c r="P10" i="23"/>
  <c r="K18" i="23"/>
  <c r="L15" i="23"/>
  <c r="L17" i="23"/>
  <c r="K25" i="23"/>
  <c r="L22" i="23"/>
  <c r="B14" i="23"/>
  <c r="B50" i="23"/>
  <c r="I18" i="23"/>
  <c r="J18" i="23"/>
  <c r="B21" i="23"/>
  <c r="I25" i="23"/>
  <c r="J25" i="23"/>
  <c r="B28" i="23"/>
  <c r="B58" i="23"/>
  <c r="K32" i="23"/>
  <c r="L29" i="23"/>
  <c r="L32" i="23"/>
  <c r="I32" i="23"/>
  <c r="J32" i="23"/>
  <c r="J33" i="23"/>
  <c r="I33" i="23"/>
  <c r="B35" i="23"/>
  <c r="B62" i="23"/>
  <c r="I39" i="23"/>
  <c r="J39" i="23"/>
  <c r="J40" i="23"/>
  <c r="I40" i="23"/>
  <c r="M44" i="23"/>
  <c r="N44" i="23"/>
  <c r="O44" i="23"/>
  <c r="I47" i="23"/>
  <c r="J47" i="23"/>
  <c r="K47" i="23"/>
  <c r="M51" i="23"/>
  <c r="M55" i="23"/>
  <c r="M59" i="23"/>
  <c r="M63" i="23"/>
  <c r="N51" i="23"/>
  <c r="N55" i="23"/>
  <c r="N59" i="23"/>
  <c r="N63" i="23"/>
  <c r="O51" i="23"/>
  <c r="O55" i="23"/>
  <c r="O59" i="23"/>
  <c r="O63" i="23"/>
  <c r="P51" i="23"/>
  <c r="P55" i="23"/>
  <c r="P59" i="23"/>
  <c r="P63" i="23"/>
  <c r="B54" i="23"/>
  <c r="B69" i="23"/>
  <c r="J69" i="23"/>
  <c r="I69" i="23"/>
  <c r="K71" i="23"/>
  <c r="M75" i="23"/>
  <c r="N75" i="23"/>
  <c r="O75" i="23"/>
  <c r="I73" i="23"/>
  <c r="J73" i="23"/>
  <c r="K73" i="23"/>
  <c r="P75" i="23"/>
  <c r="I76" i="23"/>
  <c r="J76" i="23"/>
  <c r="B2" i="21"/>
  <c r="B3" i="21"/>
  <c r="J3" i="21"/>
  <c r="I3" i="21"/>
  <c r="B5" i="21"/>
  <c r="I5" i="21"/>
  <c r="J5" i="21"/>
  <c r="K5" i="21"/>
  <c r="B6" i="21"/>
  <c r="I6" i="21"/>
  <c r="J6" i="21"/>
  <c r="K6" i="21"/>
  <c r="C9" i="21"/>
  <c r="I9" i="21"/>
  <c r="J9" i="21"/>
  <c r="J33" i="21"/>
  <c r="K9" i="21"/>
  <c r="K33" i="21"/>
  <c r="L9" i="21"/>
  <c r="M24" i="21"/>
  <c r="N24" i="21"/>
  <c r="O24" i="21"/>
  <c r="P24" i="21"/>
  <c r="Q24" i="21"/>
  <c r="C10" i="21"/>
  <c r="I10" i="21"/>
  <c r="J10" i="21"/>
  <c r="K10" i="21"/>
  <c r="K34" i="21"/>
  <c r="L10" i="21"/>
  <c r="C11" i="21"/>
  <c r="C26" i="21"/>
  <c r="I11" i="21"/>
  <c r="J11" i="21"/>
  <c r="J12" i="21"/>
  <c r="K11" i="21"/>
  <c r="L11" i="21"/>
  <c r="L35" i="21"/>
  <c r="C14" i="21"/>
  <c r="C36" i="21"/>
  <c r="I14" i="21"/>
  <c r="J14" i="21"/>
  <c r="J36" i="21"/>
  <c r="J28" i="21"/>
  <c r="K14" i="21"/>
  <c r="K28" i="21"/>
  <c r="L14" i="21"/>
  <c r="M28" i="21"/>
  <c r="N28" i="21"/>
  <c r="O28" i="21"/>
  <c r="P28" i="21"/>
  <c r="Q28" i="21"/>
  <c r="C15" i="21"/>
  <c r="C29" i="21"/>
  <c r="I15" i="21"/>
  <c r="J15" i="21"/>
  <c r="J37" i="21"/>
  <c r="K15" i="21"/>
  <c r="L15" i="21"/>
  <c r="L37" i="21"/>
  <c r="C16" i="21"/>
  <c r="C30" i="21"/>
  <c r="I16" i="21"/>
  <c r="J16" i="21"/>
  <c r="J38" i="21"/>
  <c r="K16" i="21"/>
  <c r="L16" i="21"/>
  <c r="L17" i="21"/>
  <c r="C24" i="21"/>
  <c r="J24" i="21"/>
  <c r="C25" i="21"/>
  <c r="J25" i="21"/>
  <c r="M27" i="21"/>
  <c r="C28" i="21"/>
  <c r="J29" i="21"/>
  <c r="C33" i="21"/>
  <c r="C34" i="21"/>
  <c r="C35" i="21"/>
  <c r="D39" i="21"/>
  <c r="J3" i="19"/>
  <c r="I3" i="19"/>
  <c r="I5" i="19"/>
  <c r="J5" i="19"/>
  <c r="K5" i="19"/>
  <c r="N7" i="19"/>
  <c r="O7" i="19"/>
  <c r="P7" i="19"/>
  <c r="I7" i="19"/>
  <c r="J7" i="19"/>
  <c r="K7" i="19"/>
  <c r="I13" i="19"/>
  <c r="J13" i="19"/>
  <c r="K30" i="19"/>
  <c r="J36" i="19"/>
  <c r="I36" i="19"/>
  <c r="I38" i="19"/>
  <c r="I40" i="19"/>
  <c r="J38" i="19"/>
  <c r="K38" i="19"/>
  <c r="K40" i="19"/>
  <c r="M40" i="19"/>
  <c r="N40" i="19"/>
  <c r="O40" i="19"/>
  <c r="P40" i="19"/>
  <c r="J40" i="19"/>
  <c r="K46" i="19"/>
  <c r="L42" i="19"/>
  <c r="I46" i="19"/>
  <c r="J46" i="19"/>
  <c r="K11" i="18"/>
  <c r="L11" i="18"/>
  <c r="M11" i="18"/>
  <c r="N11" i="18"/>
  <c r="O11" i="18"/>
  <c r="L7" i="17"/>
  <c r="M7" i="17"/>
  <c r="N7" i="17"/>
  <c r="O7" i="17"/>
  <c r="P7" i="17"/>
  <c r="K9" i="17"/>
  <c r="K27" i="18"/>
  <c r="L8" i="23"/>
  <c r="J13" i="17"/>
  <c r="J18" i="17"/>
  <c r="J20" i="17"/>
  <c r="J31" i="17"/>
  <c r="J26" i="17"/>
  <c r="J33" i="17"/>
  <c r="J37" i="17"/>
  <c r="J39" i="17"/>
  <c r="K13" i="17"/>
  <c r="K15" i="17"/>
  <c r="K13" i="19"/>
  <c r="K17" i="17"/>
  <c r="L17" i="17"/>
  <c r="M17" i="17"/>
  <c r="N17" i="17"/>
  <c r="O17" i="17"/>
  <c r="P17" i="17"/>
  <c r="K24" i="17"/>
  <c r="K39" i="23"/>
  <c r="L38" i="23"/>
  <c r="K26" i="17"/>
  <c r="K31" i="17"/>
  <c r="K35" i="17"/>
  <c r="K76" i="23"/>
  <c r="L71" i="23"/>
  <c r="G39" i="17"/>
  <c r="H39" i="17"/>
  <c r="I39" i="17"/>
  <c r="K7" i="16"/>
  <c r="R7" i="16"/>
  <c r="L7" i="16"/>
  <c r="K9" i="16"/>
  <c r="K10" i="16"/>
  <c r="L6" i="21"/>
  <c r="K11" i="16"/>
  <c r="K19" i="16"/>
  <c r="K23" i="16"/>
  <c r="K13" i="16"/>
  <c r="K20" i="16"/>
  <c r="K46" i="16"/>
  <c r="L46" i="16"/>
  <c r="J28" i="16"/>
  <c r="J29" i="16"/>
  <c r="M48" i="16"/>
  <c r="N48" i="16"/>
  <c r="O48" i="16"/>
  <c r="P48" i="16"/>
  <c r="I72" i="23"/>
  <c r="J72" i="23"/>
  <c r="K72" i="23"/>
  <c r="J35" i="16"/>
  <c r="J36" i="16"/>
  <c r="J37" i="16"/>
  <c r="K37" i="16"/>
  <c r="B39" i="16"/>
  <c r="J39" i="16"/>
  <c r="J40" i="16"/>
  <c r="G46" i="16"/>
  <c r="H46" i="16"/>
  <c r="I46" i="16"/>
  <c r="J46" i="16"/>
  <c r="G48" i="16"/>
  <c r="H48" i="16"/>
  <c r="I48" i="16"/>
  <c r="J48" i="16"/>
  <c r="G49" i="16"/>
  <c r="H49" i="16"/>
  <c r="I49" i="16"/>
  <c r="J49" i="16"/>
  <c r="B10" i="46"/>
  <c r="C10" i="46"/>
  <c r="H5" i="44"/>
  <c r="H6" i="44"/>
  <c r="H7" i="44"/>
  <c r="B10" i="44"/>
  <c r="C10" i="44"/>
  <c r="E5" i="45"/>
  <c r="E6" i="45"/>
  <c r="E7" i="45"/>
  <c r="E8" i="45"/>
  <c r="E9" i="45"/>
  <c r="B10" i="45"/>
  <c r="E4" i="44"/>
  <c r="E11" i="45"/>
  <c r="E19" i="45"/>
  <c r="E20" i="45"/>
  <c r="E21" i="45"/>
  <c r="E22" i="45"/>
  <c r="E23" i="45"/>
  <c r="E24" i="45"/>
  <c r="E25" i="45"/>
  <c r="E26" i="45"/>
  <c r="G5" i="45"/>
  <c r="G6" i="45"/>
  <c r="G7" i="45"/>
  <c r="G8" i="45"/>
  <c r="G9" i="45"/>
  <c r="C10" i="45"/>
  <c r="G10" i="45"/>
  <c r="G11" i="45"/>
  <c r="C12" i="45"/>
  <c r="G12" i="45"/>
  <c r="G13" i="45"/>
  <c r="G14" i="45"/>
  <c r="G15" i="45"/>
  <c r="G16" i="45"/>
  <c r="G17" i="45"/>
  <c r="G19" i="45"/>
  <c r="G20" i="45"/>
  <c r="G21" i="45"/>
  <c r="G22" i="45"/>
  <c r="G23" i="45"/>
  <c r="G24" i="45"/>
  <c r="G25" i="45"/>
  <c r="G26" i="45"/>
  <c r="C28" i="45"/>
  <c r="H8" i="44"/>
  <c r="K12" i="45"/>
  <c r="K13" i="45"/>
  <c r="K14" i="45"/>
  <c r="K15" i="45"/>
  <c r="K16" i="45"/>
  <c r="K17" i="45"/>
  <c r="L17" i="45"/>
  <c r="L18" i="45"/>
  <c r="A19" i="45"/>
  <c r="A20" i="45"/>
  <c r="A25" i="45"/>
  <c r="A26" i="45"/>
  <c r="B29" i="45"/>
  <c r="C29" i="45"/>
  <c r="H9" i="44"/>
  <c r="L73" i="23"/>
  <c r="L36" i="23"/>
  <c r="L39" i="23"/>
  <c r="K33" i="23"/>
  <c r="L33" i="23"/>
  <c r="M33" i="23"/>
  <c r="N33" i="23"/>
  <c r="O33" i="23"/>
  <c r="P33" i="23"/>
  <c r="C38" i="21"/>
  <c r="J30" i="21"/>
  <c r="J26" i="21"/>
  <c r="K30" i="21"/>
  <c r="I30" i="21"/>
  <c r="K29" i="21"/>
  <c r="K37" i="21"/>
  <c r="L36" i="21"/>
  <c r="J34" i="21"/>
  <c r="K33" i="17"/>
  <c r="K37" i="17"/>
  <c r="L34" i="21"/>
  <c r="L33" i="21"/>
  <c r="L24" i="23"/>
  <c r="L25" i="23"/>
  <c r="K39" i="16"/>
  <c r="K14" i="16"/>
  <c r="L13" i="16"/>
  <c r="K36" i="16"/>
  <c r="K18" i="17"/>
  <c r="K20" i="17"/>
  <c r="L38" i="21"/>
  <c r="C37" i="21"/>
  <c r="K36" i="21"/>
  <c r="K35" i="21"/>
  <c r="J17" i="21"/>
  <c r="J19" i="21"/>
  <c r="K17" i="21"/>
  <c r="I17" i="21"/>
  <c r="I28" i="21"/>
  <c r="J35" i="21"/>
  <c r="J39" i="21"/>
  <c r="K40" i="23"/>
  <c r="L40" i="23"/>
  <c r="M40" i="23"/>
  <c r="N40" i="23"/>
  <c r="O40" i="23"/>
  <c r="P40" i="23"/>
  <c r="L5" i="21"/>
  <c r="L26" i="21"/>
  <c r="M26" i="21"/>
  <c r="N26" i="21"/>
  <c r="O26" i="21"/>
  <c r="P26" i="21"/>
  <c r="Q26" i="21"/>
  <c r="K31" i="19"/>
  <c r="K12" i="21"/>
  <c r="K19" i="21"/>
  <c r="K25" i="21"/>
  <c r="I25" i="21"/>
  <c r="K24" i="21"/>
  <c r="I24" i="21"/>
  <c r="K38" i="21"/>
  <c r="K39" i="21"/>
  <c r="I29" i="21"/>
  <c r="I12" i="21"/>
  <c r="I19" i="21"/>
  <c r="J31" i="16"/>
  <c r="J30" i="16"/>
  <c r="K26" i="21"/>
  <c r="I26" i="21"/>
  <c r="H4" i="44"/>
  <c r="L27" i="16"/>
  <c r="L25" i="21"/>
  <c r="M25" i="21"/>
  <c r="N25" i="21"/>
  <c r="O25" i="21"/>
  <c r="P25" i="21"/>
  <c r="Q25" i="21"/>
  <c r="L29" i="21"/>
  <c r="M29" i="21"/>
  <c r="N29" i="21"/>
  <c r="O29" i="21"/>
  <c r="P29" i="21"/>
  <c r="Q29" i="21"/>
  <c r="L30" i="21"/>
  <c r="M30" i="21"/>
  <c r="N30" i="21"/>
  <c r="O30" i="21"/>
  <c r="P30" i="21"/>
  <c r="Q30" i="21"/>
  <c r="L12" i="21"/>
  <c r="L19" i="21"/>
  <c r="L21" i="21"/>
  <c r="L39" i="21"/>
  <c r="L58" i="23"/>
  <c r="L60" i="23"/>
  <c r="L30" i="17"/>
  <c r="M29" i="23"/>
  <c r="N6" i="23"/>
  <c r="M22" i="18"/>
  <c r="J21" i="21"/>
  <c r="L6" i="23"/>
  <c r="K22" i="18"/>
  <c r="E8" i="44"/>
  <c r="M46" i="16"/>
  <c r="N46" i="16"/>
  <c r="O46" i="16"/>
  <c r="P46" i="16"/>
  <c r="L20" i="16"/>
  <c r="L10" i="16"/>
  <c r="L9" i="19"/>
  <c r="K15" i="19"/>
  <c r="K17" i="19"/>
  <c r="P44" i="23"/>
  <c r="L62" i="23"/>
  <c r="L64" i="23"/>
  <c r="L24" i="17"/>
  <c r="M36" i="23"/>
  <c r="L18" i="23"/>
  <c r="M6" i="23"/>
  <c r="L22" i="18"/>
  <c r="G28" i="45"/>
  <c r="E10" i="45"/>
  <c r="K7" i="18"/>
  <c r="L38" i="19"/>
  <c r="L39" i="19"/>
  <c r="L36" i="19"/>
  <c r="K32" i="19"/>
  <c r="L5" i="19"/>
  <c r="L6" i="19"/>
  <c r="L3" i="19"/>
  <c r="M5" i="21"/>
  <c r="M3" i="21"/>
  <c r="N3" i="21"/>
  <c r="O3" i="21"/>
  <c r="P3" i="21"/>
  <c r="Q3" i="21"/>
  <c r="L69" i="23"/>
  <c r="M69" i="23"/>
  <c r="N69" i="23"/>
  <c r="O69" i="23"/>
  <c r="P69" i="23"/>
  <c r="M9" i="16"/>
  <c r="R9" i="16"/>
  <c r="M7" i="16"/>
  <c r="O81" i="23"/>
  <c r="O73" i="23"/>
  <c r="P81" i="23"/>
  <c r="P73" i="23"/>
  <c r="M22" i="23"/>
  <c r="M24" i="23"/>
  <c r="M25" i="23"/>
  <c r="L29" i="17"/>
  <c r="L54" i="23"/>
  <c r="L56" i="23"/>
  <c r="K39" i="17"/>
  <c r="K17" i="16"/>
  <c r="K21" i="16"/>
  <c r="K40" i="16"/>
  <c r="L11" i="23"/>
  <c r="K23" i="18"/>
  <c r="K24" i="18"/>
  <c r="K21" i="21"/>
  <c r="N22" i="23"/>
  <c r="M29" i="17"/>
  <c r="M54" i="23"/>
  <c r="M56" i="23"/>
  <c r="M9" i="21"/>
  <c r="M11" i="21"/>
  <c r="L24" i="19"/>
  <c r="O24" i="19"/>
  <c r="L10" i="19"/>
  <c r="M24" i="19"/>
  <c r="N24" i="19"/>
  <c r="P24" i="19"/>
  <c r="K15" i="18"/>
  <c r="M36" i="19"/>
  <c r="L49" i="19"/>
  <c r="C52" i="19"/>
  <c r="G29" i="45"/>
  <c r="H28" i="45"/>
  <c r="M39" i="23"/>
  <c r="M62" i="23"/>
  <c r="M64" i="23"/>
  <c r="E10" i="44"/>
  <c r="E16" i="44"/>
  <c r="E17" i="44"/>
  <c r="L7" i="18"/>
  <c r="N7" i="16"/>
  <c r="N5" i="21"/>
  <c r="M5" i="19"/>
  <c r="M6" i="19"/>
  <c r="M38" i="19"/>
  <c r="M39" i="19"/>
  <c r="M13" i="16"/>
  <c r="R13" i="16"/>
  <c r="N9" i="16"/>
  <c r="M10" i="16"/>
  <c r="N6" i="21"/>
  <c r="M20" i="16"/>
  <c r="M3" i="19"/>
  <c r="C24" i="19"/>
  <c r="L43" i="19"/>
  <c r="M52" i="19"/>
  <c r="N52" i="19"/>
  <c r="K17" i="18"/>
  <c r="L52" i="19"/>
  <c r="L58" i="19"/>
  <c r="O52" i="19"/>
  <c r="P52" i="19"/>
  <c r="E29" i="45"/>
  <c r="F10" i="45"/>
  <c r="M15" i="23"/>
  <c r="L50" i="23"/>
  <c r="L52" i="23"/>
  <c r="L47" i="23"/>
  <c r="L28" i="17"/>
  <c r="L31" i="17"/>
  <c r="L19" i="19"/>
  <c r="M19" i="19"/>
  <c r="M6" i="21"/>
  <c r="L11" i="16"/>
  <c r="M32" i="23"/>
  <c r="H10" i="44"/>
  <c r="I4" i="44"/>
  <c r="N22" i="18"/>
  <c r="O6" i="23"/>
  <c r="P6" i="23"/>
  <c r="O22" i="18"/>
  <c r="M11" i="16"/>
  <c r="E18" i="44"/>
  <c r="E19" i="44"/>
  <c r="K28" i="16"/>
  <c r="K29" i="16"/>
  <c r="K24" i="16"/>
  <c r="K49" i="16"/>
  <c r="K48" i="16"/>
  <c r="R10" i="16"/>
  <c r="R11" i="16"/>
  <c r="R14" i="16"/>
  <c r="N29" i="23"/>
  <c r="M30" i="17"/>
  <c r="M10" i="21"/>
  <c r="M12" i="21"/>
  <c r="M14" i="21"/>
  <c r="M15" i="21"/>
  <c r="M16" i="21"/>
  <c r="M17" i="23"/>
  <c r="M11" i="23"/>
  <c r="L23" i="18"/>
  <c r="L24" i="18"/>
  <c r="O9" i="16"/>
  <c r="O5" i="21"/>
  <c r="N5" i="19"/>
  <c r="N6" i="19"/>
  <c r="N38" i="19"/>
  <c r="N39" i="19"/>
  <c r="N10" i="16"/>
  <c r="O6" i="21"/>
  <c r="N13" i="16"/>
  <c r="N20" i="16"/>
  <c r="M14" i="16"/>
  <c r="M10" i="19"/>
  <c r="M25" i="19"/>
  <c r="M30" i="19"/>
  <c r="N25" i="19"/>
  <c r="P25" i="19"/>
  <c r="L15" i="18"/>
  <c r="O25" i="19"/>
  <c r="F5" i="44"/>
  <c r="F6" i="44"/>
  <c r="F7" i="44"/>
  <c r="F9" i="44"/>
  <c r="F4" i="44"/>
  <c r="M49" i="19"/>
  <c r="N36" i="19"/>
  <c r="C53" i="19"/>
  <c r="M35" i="21"/>
  <c r="L12" i="17"/>
  <c r="N24" i="23"/>
  <c r="N25" i="23"/>
  <c r="F8" i="44"/>
  <c r="L30" i="19"/>
  <c r="I5" i="44"/>
  <c r="I6" i="44"/>
  <c r="I7" i="44"/>
  <c r="I8" i="44"/>
  <c r="I9" i="44"/>
  <c r="L37" i="16"/>
  <c r="L14" i="16"/>
  <c r="F5" i="45"/>
  <c r="F6" i="45"/>
  <c r="F7" i="45"/>
  <c r="F8" i="45"/>
  <c r="F9" i="45"/>
  <c r="F11" i="45"/>
  <c r="F19" i="45"/>
  <c r="F25" i="45"/>
  <c r="F20" i="45"/>
  <c r="F21" i="45"/>
  <c r="F22" i="45"/>
  <c r="F23" i="45"/>
  <c r="F24" i="45"/>
  <c r="F26" i="45"/>
  <c r="L44" i="19"/>
  <c r="L46" i="19"/>
  <c r="L59" i="19"/>
  <c r="L60" i="19"/>
  <c r="C25" i="19"/>
  <c r="N3" i="19"/>
  <c r="N10" i="21"/>
  <c r="N14" i="21"/>
  <c r="N15" i="21"/>
  <c r="N16" i="21"/>
  <c r="O53" i="19"/>
  <c r="P53" i="19"/>
  <c r="M43" i="19"/>
  <c r="M53" i="19"/>
  <c r="M58" i="19"/>
  <c r="N53" i="19"/>
  <c r="L17" i="18"/>
  <c r="N9" i="21"/>
  <c r="N33" i="21"/>
  <c r="N11" i="21"/>
  <c r="O7" i="16"/>
  <c r="M7" i="18"/>
  <c r="N36" i="23"/>
  <c r="M24" i="17"/>
  <c r="H12" i="45"/>
  <c r="H13" i="45"/>
  <c r="H14" i="45"/>
  <c r="H15" i="45"/>
  <c r="H16" i="45"/>
  <c r="H17" i="45"/>
  <c r="H20" i="45"/>
  <c r="H21" i="45"/>
  <c r="H22" i="45"/>
  <c r="H23" i="45"/>
  <c r="H24" i="45"/>
  <c r="H26" i="45"/>
  <c r="H5" i="45"/>
  <c r="H6" i="45"/>
  <c r="H7" i="45"/>
  <c r="H8" i="45"/>
  <c r="H9" i="45"/>
  <c r="H10" i="45"/>
  <c r="H11" i="45"/>
  <c r="H18" i="45"/>
  <c r="H19" i="45"/>
  <c r="H25" i="45"/>
  <c r="M33" i="21"/>
  <c r="L10" i="17"/>
  <c r="M58" i="23"/>
  <c r="M60" i="23"/>
  <c r="K18" i="18"/>
  <c r="M37" i="16"/>
  <c r="I10" i="44"/>
  <c r="K30" i="16"/>
  <c r="K31" i="16"/>
  <c r="M44" i="19"/>
  <c r="M60" i="19"/>
  <c r="O22" i="23"/>
  <c r="N29" i="17"/>
  <c r="N54" i="23"/>
  <c r="N56" i="23"/>
  <c r="N39" i="23"/>
  <c r="N62" i="23"/>
  <c r="N64" i="23"/>
  <c r="N7" i="18"/>
  <c r="P7" i="16"/>
  <c r="M12" i="17"/>
  <c r="N38" i="21"/>
  <c r="M25" i="17"/>
  <c r="N17" i="21"/>
  <c r="N36" i="21"/>
  <c r="M22" i="17"/>
  <c r="O3" i="19"/>
  <c r="C26" i="19"/>
  <c r="N19" i="19"/>
  <c r="L32" i="19"/>
  <c r="L16" i="16"/>
  <c r="L12" i="19"/>
  <c r="L13" i="19"/>
  <c r="L31" i="19"/>
  <c r="K10" i="18"/>
  <c r="O36" i="19"/>
  <c r="C54" i="19"/>
  <c r="N49" i="19"/>
  <c r="O10" i="21"/>
  <c r="O14" i="21"/>
  <c r="O15" i="21"/>
  <c r="O16" i="21"/>
  <c r="N10" i="19"/>
  <c r="O26" i="19"/>
  <c r="N26" i="19"/>
  <c r="N30" i="19"/>
  <c r="P26" i="19"/>
  <c r="M15" i="18"/>
  <c r="M38" i="21"/>
  <c r="L25" i="17"/>
  <c r="M17" i="21"/>
  <c r="M19" i="21"/>
  <c r="M36" i="21"/>
  <c r="L22" i="17"/>
  <c r="H29" i="45"/>
  <c r="F29" i="45"/>
  <c r="N35" i="21"/>
  <c r="F10" i="44"/>
  <c r="L18" i="18"/>
  <c r="M42" i="19"/>
  <c r="M46" i="19"/>
  <c r="L16" i="17"/>
  <c r="N12" i="21"/>
  <c r="M10" i="17"/>
  <c r="N37" i="21"/>
  <c r="M23" i="17"/>
  <c r="O34" i="21"/>
  <c r="M11" i="17"/>
  <c r="L17" i="16"/>
  <c r="L40" i="16"/>
  <c r="L10" i="18"/>
  <c r="M12" i="19"/>
  <c r="M32" i="19"/>
  <c r="M16" i="16"/>
  <c r="M17" i="16"/>
  <c r="M40" i="16"/>
  <c r="N54" i="19"/>
  <c r="N58" i="19"/>
  <c r="M17" i="18"/>
  <c r="N43" i="19"/>
  <c r="O54" i="19"/>
  <c r="P54" i="19"/>
  <c r="O9" i="21"/>
  <c r="O11" i="21"/>
  <c r="O35" i="21"/>
  <c r="P5" i="21"/>
  <c r="O5" i="19"/>
  <c r="O6" i="19"/>
  <c r="O38" i="19"/>
  <c r="O39" i="19"/>
  <c r="O13" i="16"/>
  <c r="P9" i="16"/>
  <c r="O10" i="16"/>
  <c r="P6" i="21"/>
  <c r="O20" i="16"/>
  <c r="M37" i="21"/>
  <c r="L23" i="17"/>
  <c r="M34" i="21"/>
  <c r="L11" i="17"/>
  <c r="N34" i="21"/>
  <c r="N39" i="21"/>
  <c r="N32" i="23"/>
  <c r="M39" i="21"/>
  <c r="N11" i="16"/>
  <c r="M18" i="23"/>
  <c r="O11" i="16"/>
  <c r="N19" i="21"/>
  <c r="O7" i="18"/>
  <c r="N21" i="21"/>
  <c r="M21" i="21"/>
  <c r="P27" i="19"/>
  <c r="N15" i="18"/>
  <c r="O10" i="19"/>
  <c r="O27" i="19"/>
  <c r="N60" i="19"/>
  <c r="N44" i="19"/>
  <c r="N42" i="19"/>
  <c r="N46" i="19"/>
  <c r="M16" i="17"/>
  <c r="O37" i="21"/>
  <c r="N23" i="17"/>
  <c r="N11" i="17"/>
  <c r="L26" i="17"/>
  <c r="L33" i="17"/>
  <c r="N30" i="17"/>
  <c r="O29" i="23"/>
  <c r="Q5" i="21"/>
  <c r="P5" i="19"/>
  <c r="P6" i="19"/>
  <c r="P38" i="19"/>
  <c r="P39" i="19"/>
  <c r="P10" i="16"/>
  <c r="Q6" i="21"/>
  <c r="P13" i="16"/>
  <c r="P20" i="16"/>
  <c r="O14" i="16"/>
  <c r="O37" i="16"/>
  <c r="N12" i="17"/>
  <c r="N15" i="23"/>
  <c r="M28" i="17"/>
  <c r="M31" i="17"/>
  <c r="M50" i="23"/>
  <c r="M52" i="23"/>
  <c r="M47" i="23"/>
  <c r="N37" i="16"/>
  <c r="N14" i="16"/>
  <c r="P10" i="21"/>
  <c r="P14" i="21"/>
  <c r="P15" i="21"/>
  <c r="P16" i="21"/>
  <c r="O43" i="19"/>
  <c r="O55" i="19"/>
  <c r="P55" i="19"/>
  <c r="N17" i="18"/>
  <c r="P9" i="21"/>
  <c r="P33" i="21"/>
  <c r="P11" i="21"/>
  <c r="P35" i="21"/>
  <c r="O12" i="21"/>
  <c r="N10" i="17"/>
  <c r="N12" i="19"/>
  <c r="N32" i="19"/>
  <c r="N16" i="16"/>
  <c r="M10" i="18"/>
  <c r="O38" i="21"/>
  <c r="N25" i="17"/>
  <c r="O17" i="21"/>
  <c r="O36" i="21"/>
  <c r="N22" i="17"/>
  <c r="P36" i="19"/>
  <c r="C55" i="19"/>
  <c r="O49" i="19"/>
  <c r="M9" i="19"/>
  <c r="M13" i="19"/>
  <c r="L15" i="17"/>
  <c r="L18" i="17"/>
  <c r="C27" i="19"/>
  <c r="P3" i="19"/>
  <c r="C28" i="19"/>
  <c r="N24" i="17"/>
  <c r="O36" i="23"/>
  <c r="O24" i="23"/>
  <c r="O25" i="23"/>
  <c r="N58" i="23"/>
  <c r="N60" i="23"/>
  <c r="O33" i="21"/>
  <c r="M18" i="18"/>
  <c r="O30" i="19"/>
  <c r="M26" i="17"/>
  <c r="M59" i="19"/>
  <c r="O58" i="19"/>
  <c r="O44" i="19"/>
  <c r="O60" i="19"/>
  <c r="P22" i="23"/>
  <c r="O29" i="17"/>
  <c r="O54" i="23"/>
  <c r="O56" i="23"/>
  <c r="P12" i="21"/>
  <c r="O10" i="17"/>
  <c r="P37" i="21"/>
  <c r="O23" i="17"/>
  <c r="O11" i="17"/>
  <c r="N17" i="23"/>
  <c r="N11" i="23"/>
  <c r="M23" i="18"/>
  <c r="M24" i="18"/>
  <c r="O40" i="16"/>
  <c r="P43" i="19"/>
  <c r="O17" i="18"/>
  <c r="P56" i="19"/>
  <c r="Q9" i="21"/>
  <c r="Q11" i="21"/>
  <c r="P12" i="17"/>
  <c r="O32" i="23"/>
  <c r="O58" i="23"/>
  <c r="O60" i="23"/>
  <c r="N16" i="17"/>
  <c r="O42" i="19"/>
  <c r="O46" i="19"/>
  <c r="L12" i="18"/>
  <c r="O19" i="21"/>
  <c r="P11" i="16"/>
  <c r="N59" i="19"/>
  <c r="N10" i="18"/>
  <c r="O12" i="19"/>
  <c r="O32" i="19"/>
  <c r="O16" i="16"/>
  <c r="M15" i="17"/>
  <c r="M18" i="17"/>
  <c r="N9" i="19"/>
  <c r="N13" i="19"/>
  <c r="M31" i="19"/>
  <c r="O39" i="23"/>
  <c r="O62" i="23"/>
  <c r="O64" i="23"/>
  <c r="P49" i="19"/>
  <c r="C56" i="19"/>
  <c r="O12" i="17"/>
  <c r="P38" i="21"/>
  <c r="O25" i="17"/>
  <c r="P17" i="21"/>
  <c r="P36" i="21"/>
  <c r="O22" i="17"/>
  <c r="N17" i="16"/>
  <c r="N40" i="16"/>
  <c r="Q10" i="21"/>
  <c r="P11" i="17"/>
  <c r="Q14" i="21"/>
  <c r="Q15" i="21"/>
  <c r="Q16" i="21"/>
  <c r="P10" i="19"/>
  <c r="P28" i="19"/>
  <c r="P30" i="19"/>
  <c r="O15" i="18"/>
  <c r="O18" i="18"/>
  <c r="K12" i="18"/>
  <c r="O39" i="21"/>
  <c r="N26" i="17"/>
  <c r="M33" i="17"/>
  <c r="P34" i="21"/>
  <c r="N18" i="18"/>
  <c r="Q35" i="21"/>
  <c r="P39" i="21"/>
  <c r="P58" i="19"/>
  <c r="P60" i="19"/>
  <c r="N18" i="23"/>
  <c r="P44" i="19"/>
  <c r="Q38" i="21"/>
  <c r="P25" i="17"/>
  <c r="Q17" i="21"/>
  <c r="Q36" i="21"/>
  <c r="P22" i="17"/>
  <c r="O9" i="19"/>
  <c r="O13" i="19"/>
  <c r="N15" i="17"/>
  <c r="N18" i="17"/>
  <c r="N31" i="19"/>
  <c r="P37" i="16"/>
  <c r="P14" i="16"/>
  <c r="O21" i="21"/>
  <c r="P42" i="19"/>
  <c r="P46" i="19"/>
  <c r="P16" i="17"/>
  <c r="O16" i="17"/>
  <c r="Q12" i="21"/>
  <c r="P10" i="17"/>
  <c r="O15" i="23"/>
  <c r="N28" i="17"/>
  <c r="N31" i="17"/>
  <c r="N33" i="17"/>
  <c r="Q33" i="21"/>
  <c r="P19" i="21"/>
  <c r="O59" i="19"/>
  <c r="P32" i="19"/>
  <c r="P16" i="16"/>
  <c r="P12" i="19"/>
  <c r="O10" i="18"/>
  <c r="Q37" i="21"/>
  <c r="P23" i="17"/>
  <c r="P36" i="23"/>
  <c r="O24" i="17"/>
  <c r="P29" i="23"/>
  <c r="O30" i="17"/>
  <c r="P24" i="23"/>
  <c r="P25" i="23"/>
  <c r="O26" i="17"/>
  <c r="O17" i="16"/>
  <c r="N50" i="23"/>
  <c r="N52" i="23"/>
  <c r="N47" i="23"/>
  <c r="Q34" i="21"/>
  <c r="Q19" i="21"/>
  <c r="Q21" i="21"/>
  <c r="P29" i="17"/>
  <c r="P54" i="23"/>
  <c r="P56" i="23"/>
  <c r="P32" i="23"/>
  <c r="P30" i="17"/>
  <c r="Q39" i="21"/>
  <c r="P21" i="21"/>
  <c r="P59" i="19"/>
  <c r="P39" i="23"/>
  <c r="P24" i="17"/>
  <c r="O17" i="23"/>
  <c r="O11" i="23"/>
  <c r="N23" i="18"/>
  <c r="N24" i="18"/>
  <c r="M12" i="18"/>
  <c r="P17" i="16"/>
  <c r="P40" i="16"/>
  <c r="O15" i="17"/>
  <c r="O18" i="17"/>
  <c r="P9" i="19"/>
  <c r="P13" i="19"/>
  <c r="O31" i="19"/>
  <c r="P26" i="17"/>
  <c r="P58" i="23"/>
  <c r="P60" i="23"/>
  <c r="O12" i="18"/>
  <c r="P15" i="17"/>
  <c r="P18" i="17"/>
  <c r="P31" i="19"/>
  <c r="N12" i="18"/>
  <c r="P62" i="23"/>
  <c r="P64" i="23"/>
  <c r="O18" i="23"/>
  <c r="P15" i="23"/>
  <c r="O28" i="17"/>
  <c r="O31" i="17"/>
  <c r="O33" i="17"/>
  <c r="O50" i="23"/>
  <c r="O52" i="23"/>
  <c r="O47" i="23"/>
  <c r="P17" i="23"/>
  <c r="P11" i="23"/>
  <c r="O23" i="18"/>
  <c r="O24" i="18"/>
  <c r="P18" i="23"/>
  <c r="P28" i="17"/>
  <c r="P31" i="17"/>
  <c r="P33" i="17"/>
  <c r="P50" i="23"/>
  <c r="P52" i="23"/>
  <c r="P47" i="23"/>
  <c r="L9" i="17"/>
  <c r="M9" i="17"/>
  <c r="N9" i="17"/>
  <c r="O9" i="17"/>
  <c r="P9" i="17"/>
  <c r="L13" i="17"/>
  <c r="M13" i="17"/>
  <c r="N13" i="17"/>
  <c r="O13" i="17"/>
  <c r="P13" i="17"/>
  <c r="L20" i="17"/>
  <c r="M20" i="17"/>
  <c r="N20" i="17"/>
  <c r="O20" i="17"/>
  <c r="P20" i="17"/>
  <c r="L35" i="17"/>
  <c r="M35" i="17"/>
  <c r="N35" i="17"/>
  <c r="O35" i="17"/>
  <c r="P35" i="17"/>
  <c r="L37" i="17"/>
  <c r="M37" i="17"/>
  <c r="N37" i="17"/>
  <c r="O37" i="17"/>
  <c r="P37" i="17"/>
  <c r="L39" i="17"/>
  <c r="M39" i="17"/>
  <c r="N39" i="17"/>
  <c r="O39" i="17"/>
  <c r="P39" i="17"/>
  <c r="K9" i="18"/>
  <c r="L9" i="18"/>
  <c r="M9" i="18"/>
  <c r="N9" i="18"/>
  <c r="O9" i="18"/>
  <c r="K13" i="18"/>
  <c r="L13" i="18"/>
  <c r="M13" i="18"/>
  <c r="N13" i="18"/>
  <c r="O13" i="18"/>
  <c r="K20" i="18"/>
  <c r="L20" i="18"/>
  <c r="M20" i="18"/>
  <c r="N20" i="18"/>
  <c r="O20" i="18"/>
  <c r="K26" i="18"/>
  <c r="L26" i="18"/>
  <c r="M26" i="18"/>
  <c r="N26" i="18"/>
  <c r="O26" i="18"/>
  <c r="L27" i="18"/>
  <c r="M27" i="18"/>
  <c r="N27" i="18"/>
  <c r="O27" i="18"/>
  <c r="K28" i="18"/>
  <c r="L28" i="18"/>
  <c r="M28" i="18"/>
  <c r="N28" i="18"/>
  <c r="O28" i="18"/>
  <c r="L5" i="23"/>
  <c r="M5" i="23"/>
  <c r="N5" i="23"/>
  <c r="O5" i="23"/>
  <c r="P5" i="23"/>
  <c r="M8" i="23"/>
  <c r="N8" i="23"/>
  <c r="O8" i="23"/>
  <c r="P8" i="23"/>
  <c r="L9" i="23"/>
  <c r="M9" i="23"/>
  <c r="N9" i="23"/>
  <c r="O9" i="23"/>
  <c r="P9" i="23"/>
  <c r="L43" i="23"/>
  <c r="M43" i="23"/>
  <c r="N43" i="23"/>
  <c r="O43" i="23"/>
  <c r="P43" i="23"/>
  <c r="L45" i="23"/>
  <c r="M45" i="23"/>
  <c r="N45" i="23"/>
  <c r="O45" i="23"/>
  <c r="P45" i="23"/>
  <c r="M71" i="23"/>
  <c r="N71" i="23"/>
  <c r="O71" i="23"/>
  <c r="P71" i="23"/>
  <c r="L72" i="23"/>
  <c r="M72" i="23"/>
  <c r="N72" i="23"/>
  <c r="O72" i="23"/>
  <c r="P72" i="23"/>
  <c r="L76" i="23"/>
  <c r="M76" i="23"/>
  <c r="N76" i="23"/>
  <c r="O76" i="23"/>
  <c r="P76" i="23"/>
  <c r="L19" i="16"/>
  <c r="M19" i="16"/>
  <c r="N19" i="16"/>
  <c r="O19" i="16"/>
  <c r="P19" i="16"/>
  <c r="L21" i="16"/>
  <c r="M21" i="16"/>
  <c r="N21" i="16"/>
  <c r="O21" i="16"/>
  <c r="P21" i="16"/>
  <c r="L23" i="16"/>
  <c r="M23" i="16"/>
  <c r="N23" i="16"/>
  <c r="O23" i="16"/>
  <c r="P23" i="16"/>
  <c r="L24" i="16"/>
  <c r="M24" i="16"/>
  <c r="N24" i="16"/>
  <c r="O24" i="16"/>
  <c r="P24" i="16"/>
  <c r="M27" i="16"/>
  <c r="N27" i="16"/>
  <c r="O27" i="16"/>
  <c r="P27" i="16"/>
  <c r="L28" i="16"/>
  <c r="M28" i="16"/>
  <c r="N28" i="16"/>
  <c r="O28" i="16"/>
  <c r="P28" i="16"/>
  <c r="L29" i="16"/>
  <c r="M29" i="16"/>
  <c r="N29" i="16"/>
  <c r="O29" i="16"/>
  <c r="P29" i="16"/>
  <c r="L30" i="16"/>
  <c r="M30" i="16"/>
  <c r="N30" i="16"/>
  <c r="O30" i="16"/>
  <c r="P30" i="16"/>
  <c r="L31" i="16"/>
  <c r="M31" i="16"/>
  <c r="N31" i="16"/>
  <c r="O31" i="16"/>
  <c r="P31" i="16"/>
  <c r="L49" i="16"/>
  <c r="M49" i="16"/>
  <c r="N49" i="16"/>
  <c r="O49" i="16"/>
  <c r="P49" i="16"/>
</calcChain>
</file>

<file path=xl/sharedStrings.xml><?xml version="1.0" encoding="utf-8"?>
<sst xmlns="http://schemas.openxmlformats.org/spreadsheetml/2006/main" count="390" uniqueCount="288">
  <si>
    <t>x</t>
  </si>
  <si>
    <t>In thousands of dollars (000)</t>
  </si>
  <si>
    <t>Name</t>
  </si>
  <si>
    <t>Revenue</t>
  </si>
  <si>
    <t>EBITDA</t>
  </si>
  <si>
    <t>Shares</t>
  </si>
  <si>
    <t>Total</t>
  </si>
  <si>
    <t>Income Statement</t>
  </si>
  <si>
    <t>Total Revenue</t>
  </si>
  <si>
    <t>Total Cost of Sales</t>
  </si>
  <si>
    <t>Operating Expenses</t>
  </si>
  <si>
    <t>EBIT</t>
  </si>
  <si>
    <t>Net Income</t>
  </si>
  <si>
    <t>Tax Calculation</t>
  </si>
  <si>
    <t>Beginning NOL balance</t>
  </si>
  <si>
    <t>Pre-tax (loss) income</t>
  </si>
  <si>
    <t>Pre-tax income balance</t>
  </si>
  <si>
    <t>Taxable income</t>
  </si>
  <si>
    <t>Ending NOL balance</t>
  </si>
  <si>
    <t>Performance Metrics</t>
  </si>
  <si>
    <t>Other expense / (income), as % of sales</t>
  </si>
  <si>
    <t>Effective tax rate</t>
  </si>
  <si>
    <t>Net Income, as % of sales</t>
  </si>
  <si>
    <t>CIRC Breaker</t>
  </si>
  <si>
    <t>Depreciation &amp; Amortization</t>
  </si>
  <si>
    <t>Total Assets</t>
  </si>
  <si>
    <t>Sales</t>
  </si>
  <si>
    <t>LTM</t>
  </si>
  <si>
    <t>NTM</t>
  </si>
  <si>
    <t>Equity</t>
  </si>
  <si>
    <t>Inputs</t>
  </si>
  <si>
    <t>Financial Statement Analysis</t>
  </si>
  <si>
    <t>Balance Sheet</t>
  </si>
  <si>
    <t>Cash and equivalents</t>
  </si>
  <si>
    <t>Accounts Receivable</t>
  </si>
  <si>
    <t>Other Current Assets</t>
  </si>
  <si>
    <t>Total Current Assets</t>
  </si>
  <si>
    <t>PP&amp;E</t>
  </si>
  <si>
    <t>Goodwill &amp; Intangibles</t>
  </si>
  <si>
    <t>Other Assets</t>
  </si>
  <si>
    <t>Total Long Term Assets</t>
  </si>
  <si>
    <t>Accounts Payable</t>
  </si>
  <si>
    <t>Accrued Liabilities</t>
  </si>
  <si>
    <t>Short-Term Debt</t>
  </si>
  <si>
    <t>Other Current Liabilities</t>
  </si>
  <si>
    <t>Total Current Liabilities</t>
  </si>
  <si>
    <t>Long-Term Debt</t>
  </si>
  <si>
    <t>Revolver</t>
  </si>
  <si>
    <t>Other Long-Term Liabilities</t>
  </si>
  <si>
    <t>Total Long-Term Liabilities</t>
  </si>
  <si>
    <t>Total Liabilities</t>
  </si>
  <si>
    <t>Total Equity</t>
  </si>
  <si>
    <t>Total Liabilities and Equity</t>
  </si>
  <si>
    <t>Check</t>
  </si>
  <si>
    <t>Interest Expense</t>
  </si>
  <si>
    <t>Cash Flow Statement</t>
  </si>
  <si>
    <t>Stock-based compensation expense</t>
  </si>
  <si>
    <t>Cash Flow from Operations</t>
  </si>
  <si>
    <t>Capital expenditures</t>
  </si>
  <si>
    <t>Cash Flow from Investments</t>
  </si>
  <si>
    <t>Cash Flow Available for Financing Activities</t>
  </si>
  <si>
    <t>Cash Flow from Financing Activities</t>
  </si>
  <si>
    <t>Net Change in Cash</t>
  </si>
  <si>
    <t>Beginning Cash Balance</t>
  </si>
  <si>
    <t>Ending Cash Balance</t>
  </si>
  <si>
    <t>Capital expenditures, as % of sales</t>
  </si>
  <si>
    <t>Beginning net PP&amp;E</t>
  </si>
  <si>
    <t>(Asset sales and write-offs)</t>
  </si>
  <si>
    <t>(Depreciation expense)</t>
  </si>
  <si>
    <t>Ending net PP&amp;E</t>
  </si>
  <si>
    <t>Existing PP&amp;E, net</t>
  </si>
  <si>
    <t>Land</t>
  </si>
  <si>
    <t>Depreciable PP&amp;E, net</t>
  </si>
  <si>
    <t>Depreciation from existing PP&amp;E, net</t>
  </si>
  <si>
    <t>Average useful life of existing net PP&amp;E</t>
  </si>
  <si>
    <t>Average useful life of capital expenditures</t>
  </si>
  <si>
    <t>Depreciation from capital expenditures</t>
  </si>
  <si>
    <t>Total Depreciation Expense</t>
  </si>
  <si>
    <t>Depreciation as % of PP&amp;E, net</t>
  </si>
  <si>
    <t>Depreciation as % of capital expenditures</t>
  </si>
  <si>
    <t>Additions to definite life intangibles</t>
  </si>
  <si>
    <t>Additions as % of sales</t>
  </si>
  <si>
    <t>Beginning definite life intangibles</t>
  </si>
  <si>
    <t>(Amortization expense)</t>
  </si>
  <si>
    <t>(Write-offs)</t>
  </si>
  <si>
    <t>Ending definite life intangibles</t>
  </si>
  <si>
    <t>Amortization of existing definite life intangibles</t>
  </si>
  <si>
    <t>Useful life of definite life intangibles</t>
  </si>
  <si>
    <t>Amortization from additions to intangibles</t>
  </si>
  <si>
    <t>Total Amortization Expense</t>
  </si>
  <si>
    <t>Amortization as % of definite life intangibles</t>
  </si>
  <si>
    <t>Amortization as % of additions to intangibles</t>
  </si>
  <si>
    <t>Working Capital Balances</t>
  </si>
  <si>
    <t>Total Non-Cash Current Assets</t>
  </si>
  <si>
    <t>Total Non-Debt Current Liabilities</t>
  </si>
  <si>
    <t>Net Working Capital / (Deficit)</t>
  </si>
  <si>
    <t>Net (Increase) / Decrease in Working Capital</t>
  </si>
  <si>
    <t>Ratios and Assumptions</t>
  </si>
  <si>
    <t>Cash Flows by Individual Accounts</t>
  </si>
  <si>
    <t>Beginning Equity Balance</t>
  </si>
  <si>
    <t>Net income</t>
  </si>
  <si>
    <t>Issuance of equity</t>
  </si>
  <si>
    <t>Dividends paid</t>
  </si>
  <si>
    <t>Ending Equity Balance</t>
  </si>
  <si>
    <t>New shares issued</t>
  </si>
  <si>
    <t>New shares issued from offerings</t>
  </si>
  <si>
    <t xml:space="preserve">Price per share </t>
  </si>
  <si>
    <t>$ amount issued</t>
  </si>
  <si>
    <t>Plus: Beginning cash balance</t>
  </si>
  <si>
    <t>Cash Available for Debt Repayment</t>
  </si>
  <si>
    <t>Long-term debt issuance</t>
  </si>
  <si>
    <t>Long-term debt (repayments)</t>
  </si>
  <si>
    <t>Beginning Balance</t>
  </si>
  <si>
    <t>Issuance</t>
  </si>
  <si>
    <t>(Repayment / Amortization)</t>
  </si>
  <si>
    <t>Ending Balance</t>
  </si>
  <si>
    <t>Amortization (years)</t>
  </si>
  <si>
    <t>% of Sales</t>
  </si>
  <si>
    <t>Cash Balance &amp; Short-term Investments</t>
  </si>
  <si>
    <t>Average Balance</t>
  </si>
  <si>
    <t>Interest Rate</t>
  </si>
  <si>
    <t>Interest (Income)</t>
  </si>
  <si>
    <t>Total Interest Expense</t>
  </si>
  <si>
    <t>Net Income From Continuing Operations</t>
  </si>
  <si>
    <t>Change in Working Capital</t>
  </si>
  <si>
    <t>Capital Expenditures</t>
  </si>
  <si>
    <t>Sale of Assets</t>
  </si>
  <si>
    <t>Additions to Intangibles</t>
  </si>
  <si>
    <t>Issuance / (Repurchase) of Equity</t>
  </si>
  <si>
    <t>Issuance / (Repurchase) of Debt</t>
  </si>
  <si>
    <t>Interest Expense / (Income)</t>
  </si>
  <si>
    <t>Other Expense / (income)</t>
  </si>
  <si>
    <t>Pretax Income</t>
  </si>
  <si>
    <t>Income Taxes / (Benefit)</t>
  </si>
  <si>
    <t>Sales Growth Rate</t>
  </si>
  <si>
    <t>Cost of Sales, as % of Sales</t>
  </si>
  <si>
    <t>Gross Profit, as % of Sales</t>
  </si>
  <si>
    <t>EBITDA, as % of Sales</t>
  </si>
  <si>
    <t>Gross Profit</t>
  </si>
  <si>
    <t>Stock-Based Compensation Expense</t>
  </si>
  <si>
    <t>Inventory</t>
  </si>
  <si>
    <t>ASSETS</t>
  </si>
  <si>
    <t>Current Assets</t>
  </si>
  <si>
    <t>Checking/Savings</t>
  </si>
  <si>
    <t>Wachovia Checking</t>
  </si>
  <si>
    <t>Total Checking/Savings</t>
  </si>
  <si>
    <t>Fixed Assets</t>
  </si>
  <si>
    <t>Accumulated Depreciation</t>
  </si>
  <si>
    <t>Auto</t>
  </si>
  <si>
    <t>Total Fixed Assets</t>
  </si>
  <si>
    <t>Computers</t>
  </si>
  <si>
    <t>Total Other Assets</t>
  </si>
  <si>
    <t>TOTAL ASSETS</t>
  </si>
  <si>
    <t>LIABILITIES &amp; EQUITY</t>
  </si>
  <si>
    <t>Liabilities</t>
  </si>
  <si>
    <t>Current Liabilities</t>
  </si>
  <si>
    <t>Loan from Stewart Padveen</t>
  </si>
  <si>
    <t>Total Other Current Liabilities</t>
  </si>
  <si>
    <t>Capital Stock</t>
  </si>
  <si>
    <t>Paid In Capital</t>
  </si>
  <si>
    <t>Preferred Stock</t>
  </si>
  <si>
    <t>Retained Earnings</t>
  </si>
  <si>
    <t>TOTAL LIABILITIES &amp; EQUITY</t>
  </si>
  <si>
    <t>Ordinary Income/Expense</t>
  </si>
  <si>
    <t>Income</t>
  </si>
  <si>
    <t>Total Income</t>
  </si>
  <si>
    <t>Cost of Goods Sold</t>
  </si>
  <si>
    <t>Total COGS</t>
  </si>
  <si>
    <t>Expense</t>
  </si>
  <si>
    <t>Advertising and Promotion</t>
  </si>
  <si>
    <t>Automobile Expense</t>
  </si>
  <si>
    <t>Bank Service Charges</t>
  </si>
  <si>
    <t>Consulting</t>
  </si>
  <si>
    <t>Credit Card Fees</t>
  </si>
  <si>
    <t>Domain Registration</t>
  </si>
  <si>
    <t>Dues and Subscriptions</t>
  </si>
  <si>
    <t>Gifts</t>
  </si>
  <si>
    <t>Government Fees</t>
  </si>
  <si>
    <t>Insurance Expense</t>
  </si>
  <si>
    <t>Health Insurance</t>
  </si>
  <si>
    <t>Life and Disability Insurance</t>
  </si>
  <si>
    <t>Vision Insurance</t>
  </si>
  <si>
    <t>Insurance Expense - Other</t>
  </si>
  <si>
    <t>Total Insurance Expense</t>
  </si>
  <si>
    <t>Internet</t>
  </si>
  <si>
    <t>Legal Fees</t>
  </si>
  <si>
    <t>Meals and Entertainment</t>
  </si>
  <si>
    <t>Office Supplies</t>
  </si>
  <si>
    <t>Payroll Expenses</t>
  </si>
  <si>
    <t>Postage and Delivery</t>
  </si>
  <si>
    <t>Printing and Reproduction</t>
  </si>
  <si>
    <t>Professional Fees</t>
  </si>
  <si>
    <t>Accounting</t>
  </si>
  <si>
    <t>Legal</t>
  </si>
  <si>
    <t>Total Professional Fees</t>
  </si>
  <si>
    <t>Refunds</t>
  </si>
  <si>
    <t>Rent Expense</t>
  </si>
  <si>
    <t>Research &amp; Development</t>
  </si>
  <si>
    <t>Sales Reps</t>
  </si>
  <si>
    <t>Software</t>
  </si>
  <si>
    <t>Subscriptions</t>
  </si>
  <si>
    <t>Supplies</t>
  </si>
  <si>
    <t>Taxes - State of California</t>
  </si>
  <si>
    <t>Telephone Expense</t>
  </si>
  <si>
    <t>Trade Shows</t>
  </si>
  <si>
    <t>Transportion</t>
  </si>
  <si>
    <t>Travel Expense</t>
  </si>
  <si>
    <t>Web Site Development</t>
  </si>
  <si>
    <t>Total Expense</t>
  </si>
  <si>
    <t>Net Ordinary Income</t>
  </si>
  <si>
    <t>Mar 1, '10 - Mar 2, 11</t>
  </si>
  <si>
    <t>Other Income/Expense</t>
  </si>
  <si>
    <t>Other Expense</t>
  </si>
  <si>
    <t>Political Contributions</t>
  </si>
  <si>
    <t>Total Other Expense</t>
  </si>
  <si>
    <t>Net Other Income</t>
  </si>
  <si>
    <t>Cloops, Inc. Summary Cap Table</t>
  </si>
  <si>
    <t>Pre-Series A</t>
  </si>
  <si>
    <t>Post-Series A</t>
  </si>
  <si>
    <t>Class</t>
  </si>
  <si>
    <t>Fully Diluted %</t>
  </si>
  <si>
    <t>Fully Diluted</t>
  </si>
  <si>
    <t>Common Stock (Issuances)</t>
  </si>
  <si>
    <t>Common</t>
  </si>
  <si>
    <t>Common Stock (Option Exercises)</t>
  </si>
  <si>
    <t xml:space="preserve">Options Outstanding (Rattner)* </t>
  </si>
  <si>
    <t>Options Outstanding (All Others)</t>
  </si>
  <si>
    <t>Option Pool (Available)**</t>
  </si>
  <si>
    <t>Series A Investors</t>
  </si>
  <si>
    <t>Series A</t>
  </si>
  <si>
    <t xml:space="preserve">*Steve Rattner to be granted a stock award post-Series A financing that provides him with 18% of the capitalization on a fully-diluted basis </t>
  </si>
  <si>
    <t>**Option pool will be increased by the number of options/shares granted to Steve Rattner</t>
  </si>
  <si>
    <t>as of February 2, 2011</t>
  </si>
  <si>
    <t xml:space="preserve">CLOOPS CAPITALIZATION TABLE </t>
  </si>
  <si>
    <t>Options</t>
  </si>
  <si>
    <t>Series A Preferred</t>
  </si>
  <si>
    <t>Outstanding (Shares)</t>
  </si>
  <si>
    <t>Oustanding (%)</t>
  </si>
  <si>
    <t>Fully Diluted (Shares)</t>
  </si>
  <si>
    <t>Fully Diluted (%)</t>
  </si>
  <si>
    <t>Date of Issuance</t>
  </si>
  <si>
    <t>Purchase Price/ Exercise Price</t>
  </si>
  <si>
    <t>Stewart Padveen Irrevocable Trust, dated 12/21/98</t>
  </si>
  <si>
    <t>April 26 2007</t>
  </si>
  <si>
    <t>Mantzoor, Zohar</t>
  </si>
  <si>
    <t>June 28 2007</t>
  </si>
  <si>
    <t>Capano, Ronald</t>
  </si>
  <si>
    <t>Bekirov, Huseyin M.</t>
  </si>
  <si>
    <t>Taylor, Ronald S. and Stepanie F. as JTBE</t>
  </si>
  <si>
    <t>October 5 2007</t>
  </si>
  <si>
    <t>Taylor, Roger D.</t>
  </si>
  <si>
    <t>November 14 2007</t>
  </si>
  <si>
    <t>Capano, Lauri</t>
  </si>
  <si>
    <t>May 10 2008</t>
  </si>
  <si>
    <t>Jack Danger Canty</t>
  </si>
  <si>
    <t>July 24 2007</t>
  </si>
  <si>
    <t>December 15 2008</t>
  </si>
  <si>
    <t>Cindy Kaminsky</t>
  </si>
  <si>
    <t>January 20 2010</t>
  </si>
  <si>
    <t>Ed Kaminsky</t>
  </si>
  <si>
    <t>Carlos D'Avis</t>
  </si>
  <si>
    <t>Stephen Rattner(1)</t>
  </si>
  <si>
    <t>TBD</t>
  </si>
  <si>
    <t>February 2, 2011</t>
  </si>
  <si>
    <t>Steven Sadaka and Lori Sadaka as JTBE</t>
  </si>
  <si>
    <t>Michael and Michele Criden as JTBE</t>
  </si>
  <si>
    <t>Todd and Nanette Katz as JTBE</t>
  </si>
  <si>
    <t>Jeffrey and Nancy Baumann as JTBE</t>
  </si>
  <si>
    <t>Options Available</t>
  </si>
  <si>
    <t>(1) See notes regarding Steve Rattner options in Summary Worksheet</t>
  </si>
  <si>
    <t>Series A Holder</t>
  </si>
  <si>
    <t>Investment</t>
  </si>
  <si>
    <t>Mimi 5 LLP</t>
  </si>
  <si>
    <t>Puder Family Partnership No. 1, Ltd.</t>
  </si>
  <si>
    <t>Steven Sadaka &amp; Lori Sadaka Joint Tenants by the Entireties</t>
  </si>
  <si>
    <t>Michael &amp; Michelle Criden Joint Tenants by the Entireties</t>
  </si>
  <si>
    <t>Todd &amp; Nanette Katz Joint Tenants by the Entireties</t>
  </si>
  <si>
    <t>Jeffrey Baumann &amp; Nancy Baumann Joint Tenants by the Entireties</t>
  </si>
  <si>
    <t>Edward Fentin</t>
  </si>
  <si>
    <t>Peter Sherman</t>
  </si>
  <si>
    <t>As of 03/02/2011</t>
  </si>
  <si>
    <t>As of</t>
  </si>
  <si>
    <t>ACME, Inc.</t>
  </si>
  <si>
    <t>Company Name</t>
  </si>
  <si>
    <t>Currency Scale</t>
  </si>
  <si>
    <t>End of Next Fiscal Year</t>
  </si>
  <si>
    <t>Current Year</t>
  </si>
  <si>
    <t>Most Recent Closed 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</si>
</sst>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#,##0.00%_);\(#,##0.00%\)"/>
    <numFmt numFmtId="167" formatCode="#,##0.000_);\(#,##0.000\)"/>
    <numFmt numFmtId="168" formatCode="#,##0.0%_);\(#,##0.0%\)"/>
    <numFmt numFmtId="169" formatCode="#,##0.0\x_);\(#,##0.0\x\)"/>
    <numFmt numFmtId="170" formatCode="[$$-409]#,##0_);\([$$-409]#,##0\)"/>
    <numFmt numFmtId="171" formatCode="_(* #,##0.0_);_(* \(#,##0.0\);_(* &quot;-&quot;_);_(@_)"/>
    <numFmt numFmtId="172" formatCode="0.00_);\(0.00\);0.00"/>
    <numFmt numFmtId="173" formatCode="0.00_);\(0.00\);0.00_)"/>
    <numFmt numFmtId="174" formatCode="0.00_)"/>
    <numFmt numFmtId="175" formatCode="0%_);\(0%\)"/>
    <numFmt numFmtId="176" formatCode="0.0%"/>
    <numFmt numFmtId="177" formatCode="0.00\%;\-0.00\%;0.00\%"/>
    <numFmt numFmtId="178" formatCode="0.00\x;\-0.00\x;0.00\x"/>
    <numFmt numFmtId="179" formatCode="#,##0.00;\(#,##0.00\);_(* &quot;-&quot;_)"/>
    <numFmt numFmtId="180" formatCode="#,##0;\(#,##0\);_(* &quot;-&quot;_)"/>
    <numFmt numFmtId="181" formatCode="#,##0.0_);\(#,##0.0\);_(* &quot;-&quot;_)"/>
    <numFmt numFmtId="182" formatCode="#,##0.0\x"/>
    <numFmt numFmtId="183" formatCode="_(&quot;$&quot;* #,##0.00_);_(&quot;$&quot;* \(#,##0.00\);_(* &quot;-&quot;_);_(@_)"/>
    <numFmt numFmtId="184" formatCode="_(&quot;$&quot;* #,##0.000_);_(&quot;$&quot;* \(#,##0.000\);_(* &quot;-&quot;_);_(@_)"/>
    <numFmt numFmtId="185" formatCode="_(&quot;$&quot;* #,##0.0_);_(&quot;$&quot;* \(#,##0.0\);_(* &quot;-&quot;_);_(@_)"/>
    <numFmt numFmtId="186" formatCode="&quot;$&quot;#,##0.00"/>
    <numFmt numFmtId="187" formatCode="#,##0.00_);\(#,##0.00\);_(* &quot;-&quot;_)"/>
    <numFmt numFmtId="188" formatCode="&quot;$&quot;* #,##0.00"/>
    <numFmt numFmtId="189" formatCode="#,##0_);\(#,##0\);_(* &quot;-&quot;_);_(* &quot;-&quot;_)"/>
    <numFmt numFmtId="190" formatCode="#0.0%_);\(#0.0%\)"/>
    <numFmt numFmtId="191" formatCode="_(###.##%_);\(* &quot;-&quot;_);_(@_)"/>
    <numFmt numFmtId="192" formatCode="#,##0.00\x"/>
    <numFmt numFmtId="193" formatCode="_(#,##0.000_);_(\(#,##0.000\)"/>
    <numFmt numFmtId="194" formatCode="_(#,##0.00_);_(\(#,##0.00\)"/>
    <numFmt numFmtId="195" formatCode="_(#,##0_);_(\(#,##0\)"/>
    <numFmt numFmtId="196" formatCode="_(#,##0.0_);_(\(#,##0.0\)"/>
    <numFmt numFmtId="197" formatCode="mm/dd/yyyy"/>
    <numFmt numFmtId="198" formatCode="_(* #,##0_);_(* \(#,##0\);_(* &quot;-&quot;??_);_(@_)"/>
    <numFmt numFmtId="199" formatCode="_(&quot;$&quot;* #,##0.000_);_(&quot;$&quot;* \(#,##0.000\);_(&quot;$&quot;* &quot;-&quot;??_);_(@_)"/>
    <numFmt numFmtId="200" formatCode="&quot;$&quot;#,##0.0000_);[Red]\(&quot;$&quot;#,##0.0000\)"/>
  </numFmts>
  <fonts count="10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name val="Adobe Garamond Pro"/>
      <family val="1"/>
    </font>
    <font>
      <b/>
      <i/>
      <sz val="10"/>
      <name val="Calibri"/>
      <family val="2"/>
      <scheme val="minor"/>
    </font>
    <font>
      <sz val="10"/>
      <name val="Verdana"/>
      <family val="2"/>
    </font>
    <font>
      <sz val="10"/>
      <color indexed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24"/>
      <name val="Arial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Calibri"/>
      <family val="2"/>
    </font>
    <font>
      <sz val="10"/>
      <color indexed="12"/>
      <name val="Arial"/>
      <family val="2"/>
    </font>
    <font>
      <sz val="9"/>
      <color indexed="0"/>
      <name val="Helvetica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39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Calibri"/>
      <family val="2"/>
      <scheme val="minor"/>
    </font>
    <font>
      <i/>
      <sz val="10"/>
      <color indexed="3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name val="Adobe Garamond Pro"/>
      <family val="1"/>
    </font>
    <font>
      <sz val="10"/>
      <color theme="0"/>
      <name val="Adobe Garamond Pro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dobe Garamond Pro"/>
      <family val="1"/>
    </font>
    <font>
      <sz val="10"/>
      <color indexed="9"/>
      <name val="Adobe Garamond Pro"/>
      <family val="1"/>
    </font>
    <font>
      <sz val="10"/>
      <color indexed="30"/>
      <name val="Adobe Garamond Pro"/>
      <family val="1"/>
    </font>
    <font>
      <sz val="10"/>
      <color indexed="8"/>
      <name val="Adobe Garamond Pro"/>
      <family val="1"/>
    </font>
    <font>
      <b/>
      <sz val="10"/>
      <color indexed="9"/>
      <name val="Adobe Garamond Pro"/>
      <family val="1"/>
    </font>
    <font>
      <sz val="10"/>
      <color rgb="FF00B050"/>
      <name val="Adobe Garamond Pro"/>
      <family val="1"/>
    </font>
    <font>
      <i/>
      <sz val="10"/>
      <name val="Adobe Garamond Pro"/>
      <family val="1"/>
    </font>
    <font>
      <i/>
      <sz val="8"/>
      <color indexed="9"/>
      <name val="Adobe Garamond Pro"/>
      <family val="1"/>
    </font>
    <font>
      <b/>
      <u/>
      <sz val="10"/>
      <name val="Adobe Garamond Pro"/>
      <family val="1"/>
    </font>
    <font>
      <sz val="10"/>
      <color rgb="FF0070C0"/>
      <name val="Adobe Garamond Pro"/>
      <family val="1"/>
    </font>
    <font>
      <i/>
      <sz val="10"/>
      <color indexed="8"/>
      <name val="Adobe Garamond Pro"/>
      <family val="1"/>
    </font>
    <font>
      <b/>
      <sz val="10"/>
      <color indexed="8"/>
      <name val="Adobe Garamond Pro"/>
      <family val="1"/>
    </font>
    <font>
      <sz val="8"/>
      <name val="Adobe Garamond Pro"/>
      <family val="1"/>
    </font>
    <font>
      <u/>
      <sz val="10"/>
      <name val="Adobe Garamond Pro"/>
      <family val="1"/>
    </font>
    <font>
      <u/>
      <sz val="10"/>
      <color indexed="8"/>
      <name val="Adobe Garamond Pro"/>
      <family val="1"/>
    </font>
    <font>
      <b/>
      <i/>
      <sz val="10"/>
      <color rgb="FFFF0000"/>
      <name val="Adobe Garamond Pro"/>
      <family val="1"/>
    </font>
    <font>
      <i/>
      <sz val="10"/>
      <color indexed="30"/>
      <name val="Adobe Garamond Pro"/>
      <family val="1"/>
    </font>
    <font>
      <sz val="10"/>
      <color indexed="12"/>
      <name val="Adobe Garamond Pro"/>
      <family val="1"/>
    </font>
    <font>
      <b/>
      <sz val="10"/>
      <color rgb="FF00B050"/>
      <name val="Adobe Garamond Pro"/>
      <family val="1"/>
    </font>
    <font>
      <sz val="10"/>
      <color indexed="17"/>
      <name val="Adobe Garamond Pro"/>
      <family val="1"/>
    </font>
    <font>
      <u/>
      <sz val="10"/>
      <color rgb="FF00B050"/>
      <name val="Adobe Garamond Pro"/>
      <family val="1"/>
    </font>
    <font>
      <sz val="8"/>
      <color rgb="FF00B050"/>
      <name val="Adobe Garamond Pro"/>
      <family val="1"/>
    </font>
    <font>
      <i/>
      <sz val="10"/>
      <color indexed="12"/>
      <name val="Adobe Garamond Pro"/>
      <family val="1"/>
    </font>
    <font>
      <sz val="16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2"/>
      <name val="Trajan Pro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indexed="9"/>
      </top>
      <bottom/>
      <diagonal/>
    </border>
  </borders>
  <cellStyleXfs count="310">
    <xf numFmtId="0" fontId="0" fillId="0" borderId="0" applyBorder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9" applyNumberFormat="0" applyAlignment="0" applyProtection="0"/>
    <xf numFmtId="0" fontId="16" fillId="22" borderId="9" applyNumberFormat="0" applyAlignment="0" applyProtection="0"/>
    <xf numFmtId="0" fontId="17" fillId="0" borderId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2" fillId="0" borderId="0">
      <alignment horizontal="center" wrapText="1"/>
      <protection hidden="1"/>
    </xf>
    <xf numFmtId="0" fontId="19" fillId="24" borderId="0"/>
    <xf numFmtId="0" fontId="19" fillId="24" borderId="0" applyAlignment="0"/>
    <xf numFmtId="0" fontId="19" fillId="24" borderId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ill="0" applyBorder="0" applyAlignment="0" applyProtection="0"/>
    <xf numFmtId="43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25" borderId="0">
      <alignment horizontal="center" vertical="center" wrapText="1"/>
    </xf>
    <xf numFmtId="172" fontId="2" fillId="0" borderId="0" applyFill="0" applyBorder="0">
      <alignment horizontal="right"/>
      <protection locked="0"/>
    </xf>
    <xf numFmtId="44" fontId="2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9" applyNumberFormat="0" applyAlignment="0" applyProtection="0"/>
    <xf numFmtId="0" fontId="27" fillId="9" borderId="9" applyNumberFormat="0" applyAlignment="0" applyProtection="0"/>
    <xf numFmtId="0" fontId="2" fillId="0" borderId="0" applyFill="0" applyBorder="0">
      <alignment horizontal="right"/>
      <protection locked="0"/>
    </xf>
    <xf numFmtId="0" fontId="28" fillId="0" borderId="0"/>
    <xf numFmtId="0" fontId="28" fillId="0" borderId="0" applyAlignment="0"/>
    <xf numFmtId="173" fontId="2" fillId="0" borderId="0" applyFill="0" applyBorder="0">
      <alignment horizontal="right"/>
      <protection locked="0"/>
    </xf>
    <xf numFmtId="0" fontId="29" fillId="26" borderId="14">
      <alignment horizontal="left" vertical="center" wrapText="1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/>
    <xf numFmtId="0" fontId="33" fillId="29" borderId="0"/>
    <xf numFmtId="0" fontId="34" fillId="0" borderId="0"/>
    <xf numFmtId="174" fontId="35" fillId="0" borderId="0"/>
    <xf numFmtId="0" fontId="36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38" fillId="0" borderId="0"/>
    <xf numFmtId="0" fontId="2" fillId="0" borderId="0"/>
    <xf numFmtId="0" fontId="2" fillId="0" borderId="0">
      <alignment vertical="top"/>
    </xf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40" fillId="22" borderId="17" applyNumberFormat="0" applyAlignment="0" applyProtection="0"/>
    <xf numFmtId="0" fontId="40" fillId="22" borderId="17" applyNumberFormat="0" applyAlignment="0" applyProtection="0"/>
    <xf numFmtId="175" fontId="2" fillId="0" borderId="0" applyFill="0" applyBorder="0" applyAlignment="0" applyProtection="0"/>
    <xf numFmtId="176" fontId="41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2" fillId="0" borderId="0" applyFill="0" applyBorder="0">
      <alignment horizontal="right"/>
      <protection locked="0"/>
    </xf>
    <xf numFmtId="178" fontId="2" fillId="0" borderId="0">
      <alignment horizontal="right"/>
      <protection locked="0"/>
    </xf>
    <xf numFmtId="38" fontId="41" fillId="0" borderId="0"/>
    <xf numFmtId="0" fontId="42" fillId="31" borderId="0"/>
    <xf numFmtId="0" fontId="43" fillId="25" borderId="3">
      <alignment horizontal="center" vertical="center" wrapText="1"/>
      <protection hidden="1"/>
    </xf>
    <xf numFmtId="179" fontId="44" fillId="0" borderId="0" applyFill="0" applyBorder="0" applyProtection="0">
      <alignment horizontal="right" wrapText="1"/>
    </xf>
    <xf numFmtId="179" fontId="44" fillId="0" borderId="0" applyFill="0" applyBorder="0" applyProtection="0">
      <alignment horizontal="right" wrapText="1"/>
    </xf>
    <xf numFmtId="179" fontId="44" fillId="0" borderId="0" applyFill="0" applyBorder="0" applyProtection="0">
      <alignment horizontal="right" wrapText="1"/>
    </xf>
    <xf numFmtId="0" fontId="44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/>
    <xf numFmtId="0" fontId="43" fillId="0" borderId="0" applyNumberFormat="0" applyFill="0" applyBorder="0" applyProtection="0"/>
    <xf numFmtId="165" fontId="44" fillId="0" borderId="0" applyFill="0" applyBorder="0" applyProtection="0">
      <alignment horizontal="right" wrapText="1"/>
    </xf>
    <xf numFmtId="165" fontId="44" fillId="0" borderId="0" applyFill="0" applyBorder="0" applyProtection="0">
      <alignment horizontal="right" wrapText="1"/>
    </xf>
    <xf numFmtId="165" fontId="44" fillId="0" borderId="0" applyFill="0" applyBorder="0" applyProtection="0">
      <alignment horizontal="right" wrapText="1"/>
    </xf>
    <xf numFmtId="165" fontId="44" fillId="0" borderId="0" applyFill="0" applyBorder="0" applyProtection="0">
      <alignment horizontal="right" wrapText="1"/>
    </xf>
    <xf numFmtId="165" fontId="44" fillId="0" borderId="0" applyFill="0" applyBorder="0" applyProtection="0">
      <alignment horizontal="right" wrapText="1"/>
    </xf>
    <xf numFmtId="165" fontId="44" fillId="0" borderId="0" applyFill="0" applyBorder="0" applyProtection="0">
      <alignment horizontal="right" wrapText="1"/>
    </xf>
    <xf numFmtId="180" fontId="44" fillId="0" borderId="0" applyFill="0" applyBorder="0" applyProtection="0">
      <alignment horizontal="right" wrapText="1"/>
    </xf>
    <xf numFmtId="0" fontId="44" fillId="0" borderId="0" applyNumberFormat="0" applyFill="0" applyBorder="0" applyProtection="0">
      <alignment horizontal="right" vertical="top" wrapText="1"/>
    </xf>
    <xf numFmtId="0" fontId="44" fillId="0" borderId="0" applyNumberFormat="0" applyFill="0" applyBorder="0" applyProtection="0">
      <alignment wrapText="1"/>
    </xf>
    <xf numFmtId="0" fontId="44" fillId="0" borderId="0" applyNumberFormat="0" applyFill="0" applyBorder="0" applyProtection="0">
      <alignment wrapText="1"/>
    </xf>
    <xf numFmtId="0" fontId="44" fillId="0" borderId="0" applyNumberFormat="0" applyFill="0" applyBorder="0" applyProtection="0">
      <alignment horizontal="right" vertical="top" wrapText="1"/>
    </xf>
    <xf numFmtId="181" fontId="44" fillId="0" borderId="0" applyFill="0" applyBorder="0" applyProtection="0">
      <alignment horizontal="right" wrapText="1"/>
    </xf>
    <xf numFmtId="181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68" fontId="44" fillId="0" borderId="0" applyFill="0" applyBorder="0" applyProtection="0">
      <alignment horizontal="right" wrapText="1"/>
    </xf>
    <xf numFmtId="181" fontId="44" fillId="0" borderId="0" applyFill="0" applyBorder="0" applyProtection="0">
      <alignment horizontal="right" wrapText="1"/>
    </xf>
    <xf numFmtId="14" fontId="44" fillId="0" borderId="0" applyFill="0" applyBorder="0" applyProtection="0">
      <alignment horizontal="right"/>
    </xf>
    <xf numFmtId="182" fontId="44" fillId="0" borderId="0" applyFill="0" applyBorder="0" applyProtection="0">
      <alignment horizontal="right"/>
    </xf>
    <xf numFmtId="14" fontId="44" fillId="0" borderId="0" applyFill="0" applyBorder="0" applyProtection="0">
      <alignment horizontal="right"/>
    </xf>
    <xf numFmtId="14" fontId="44" fillId="0" borderId="0" applyFill="0" applyBorder="0" applyProtection="0">
      <alignment horizontal="right"/>
    </xf>
    <xf numFmtId="183" fontId="44" fillId="0" borderId="0" applyFill="0" applyBorder="0" applyProtection="0">
      <alignment horizontal="right"/>
    </xf>
    <xf numFmtId="167" fontId="44" fillId="0" borderId="0" applyFill="0" applyBorder="0" applyProtection="0">
      <alignment horizontal="right"/>
    </xf>
    <xf numFmtId="183" fontId="44" fillId="0" borderId="0" applyFill="0" applyBorder="0" applyProtection="0">
      <alignment horizontal="right"/>
    </xf>
    <xf numFmtId="183" fontId="44" fillId="0" borderId="0" applyFill="0" applyBorder="0" applyProtection="0">
      <alignment horizontal="right"/>
    </xf>
    <xf numFmtId="184" fontId="44" fillId="0" borderId="0" applyFill="0" applyBorder="0" applyProtection="0">
      <alignment horizontal="right"/>
    </xf>
    <xf numFmtId="169" fontId="44" fillId="0" borderId="0" applyFill="0" applyBorder="0" applyProtection="0">
      <alignment horizontal="right"/>
    </xf>
    <xf numFmtId="184" fontId="44" fillId="0" borderId="0" applyFill="0" applyBorder="0" applyProtection="0">
      <alignment horizontal="right"/>
    </xf>
    <xf numFmtId="184" fontId="44" fillId="0" borderId="0" applyFill="0" applyBorder="0" applyProtection="0">
      <alignment horizontal="right"/>
    </xf>
    <xf numFmtId="185" fontId="44" fillId="0" borderId="0" applyFill="0" applyBorder="0" applyProtection="0">
      <alignment horizontal="right"/>
    </xf>
    <xf numFmtId="182" fontId="44" fillId="0" borderId="0" applyFill="0" applyBorder="0" applyProtection="0">
      <alignment horizontal="right" wrapText="1"/>
    </xf>
    <xf numFmtId="166" fontId="44" fillId="0" borderId="0" applyFill="0" applyBorder="0" applyProtection="0">
      <alignment horizontal="right" wrapText="1"/>
    </xf>
    <xf numFmtId="166" fontId="44" fillId="0" borderId="0" applyFill="0" applyBorder="0" applyProtection="0">
      <alignment horizontal="right" wrapText="1"/>
    </xf>
    <xf numFmtId="166" fontId="44" fillId="0" borderId="0" applyFill="0" applyBorder="0" applyProtection="0">
      <alignment horizontal="right" wrapText="1"/>
    </xf>
    <xf numFmtId="166" fontId="44" fillId="0" borderId="0" applyFill="0" applyBorder="0" applyProtection="0">
      <alignment horizontal="right" wrapText="1"/>
    </xf>
    <xf numFmtId="166" fontId="44" fillId="0" borderId="0" applyFill="0" applyBorder="0" applyProtection="0">
      <alignment horizontal="right" wrapText="1"/>
    </xf>
    <xf numFmtId="182" fontId="44" fillId="0" borderId="0" applyFill="0" applyBorder="0" applyProtection="0">
      <alignment horizontal="right" wrapText="1"/>
    </xf>
    <xf numFmtId="182" fontId="44" fillId="0" borderId="0" applyFill="0" applyBorder="0" applyProtection="0">
      <alignment horizontal="right" wrapText="1"/>
    </xf>
    <xf numFmtId="186" fontId="44" fillId="0" borderId="0" applyFill="0" applyBorder="0" applyProtection="0">
      <alignment horizontal="right" wrapText="1"/>
    </xf>
    <xf numFmtId="4" fontId="44" fillId="0" borderId="0" applyFill="0" applyBorder="0" applyProtection="0">
      <alignment wrapText="1"/>
    </xf>
    <xf numFmtId="4" fontId="44" fillId="0" borderId="0" applyFill="0" applyBorder="0" applyProtection="0">
      <alignment wrapText="1"/>
    </xf>
    <xf numFmtId="4" fontId="44" fillId="0" borderId="0" applyFill="0" applyBorder="0" applyProtection="0">
      <alignment wrapText="1"/>
    </xf>
    <xf numFmtId="0" fontId="44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0" fontId="45" fillId="0" borderId="0" applyNumberFormat="0" applyFill="0" applyBorder="0" applyProtection="0">
      <alignment horizontal="left" vertical="top" wrapText="1"/>
    </xf>
    <xf numFmtId="187" fontId="46" fillId="0" borderId="0" applyFill="0" applyBorder="0" applyProtection="0">
      <alignment horizontal="center" wrapText="1"/>
    </xf>
    <xf numFmtId="188" fontId="46" fillId="0" borderId="0" applyFill="0" applyBorder="0" applyProtection="0">
      <alignment horizontal="center" wrapText="1"/>
    </xf>
    <xf numFmtId="188" fontId="46" fillId="0" borderId="0" applyFill="0" applyBorder="0" applyProtection="0">
      <alignment horizontal="center" wrapText="1"/>
    </xf>
    <xf numFmtId="188" fontId="46" fillId="0" borderId="0" applyFill="0" applyBorder="0" applyProtection="0">
      <alignment horizontal="center" wrapText="1"/>
    </xf>
    <xf numFmtId="187" fontId="46" fillId="0" borderId="0" applyFill="0" applyBorder="0" applyProtection="0">
      <alignment horizontal="center" wrapText="1"/>
    </xf>
    <xf numFmtId="187" fontId="46" fillId="0" borderId="0" applyFill="0" applyBorder="0" applyProtection="0">
      <alignment horizontal="center" wrapText="1"/>
    </xf>
    <xf numFmtId="182" fontId="46" fillId="0" borderId="0" applyFill="0" applyBorder="0" applyProtection="0">
      <alignment horizontal="right" wrapText="1"/>
    </xf>
    <xf numFmtId="166" fontId="46" fillId="0" borderId="0" applyFill="0" applyBorder="0" applyProtection="0">
      <alignment horizontal="right" wrapText="1"/>
    </xf>
    <xf numFmtId="182" fontId="46" fillId="0" borderId="0" applyFill="0" applyBorder="0" applyProtection="0">
      <alignment horizontal="right" wrapText="1"/>
    </xf>
    <xf numFmtId="182" fontId="46" fillId="0" borderId="0" applyFill="0" applyBorder="0" applyProtection="0">
      <alignment horizontal="right" wrapText="1"/>
    </xf>
    <xf numFmtId="181" fontId="46" fillId="0" borderId="0" applyFill="0" applyBorder="0" applyProtection="0">
      <alignment horizontal="right" wrapText="1"/>
    </xf>
    <xf numFmtId="168" fontId="46" fillId="0" borderId="0" applyFill="0" applyBorder="0" applyProtection="0">
      <alignment horizontal="right" wrapText="1"/>
    </xf>
    <xf numFmtId="181" fontId="46" fillId="0" borderId="0" applyFill="0" applyBorder="0" applyProtection="0">
      <alignment horizontal="right" wrapText="1"/>
    </xf>
    <xf numFmtId="181" fontId="46" fillId="0" borderId="0" applyFill="0" applyBorder="0" applyProtection="0">
      <alignment horizontal="right" wrapText="1"/>
    </xf>
    <xf numFmtId="189" fontId="46" fillId="0" borderId="0" applyFill="0" applyBorder="0" applyProtection="0">
      <alignment horizontal="right" wrapText="1"/>
    </xf>
    <xf numFmtId="190" fontId="46" fillId="0" borderId="0" applyFill="0" applyBorder="0" applyProtection="0">
      <alignment horizontal="right" wrapText="1"/>
    </xf>
    <xf numFmtId="189" fontId="46" fillId="0" borderId="0" applyFill="0" applyBorder="0" applyProtection="0">
      <alignment horizontal="right" wrapText="1"/>
    </xf>
    <xf numFmtId="189" fontId="46" fillId="0" borderId="0" applyFill="0" applyBorder="0" applyProtection="0">
      <alignment horizontal="right" wrapText="1"/>
    </xf>
    <xf numFmtId="37" fontId="46" fillId="0" borderId="0" applyFill="0" applyBorder="0" applyProtection="0">
      <alignment horizontal="center" wrapText="1"/>
    </xf>
    <xf numFmtId="37" fontId="46" fillId="0" borderId="0" applyFill="0" applyBorder="0" applyProtection="0">
      <alignment horizontal="center" wrapText="1"/>
    </xf>
    <xf numFmtId="37" fontId="46" fillId="0" borderId="0" applyFill="0" applyBorder="0" applyProtection="0">
      <alignment horizontal="center" wrapText="1"/>
    </xf>
    <xf numFmtId="183" fontId="46" fillId="0" borderId="0" applyFill="0" applyBorder="0" applyProtection="0">
      <alignment horizontal="right"/>
    </xf>
    <xf numFmtId="167" fontId="46" fillId="0" borderId="0" applyFill="0" applyBorder="0" applyProtection="0">
      <alignment horizontal="right"/>
    </xf>
    <xf numFmtId="183" fontId="46" fillId="0" borderId="0" applyFill="0" applyBorder="0" applyProtection="0">
      <alignment horizontal="right"/>
    </xf>
    <xf numFmtId="183" fontId="46" fillId="0" borderId="0" applyFill="0" applyBorder="0" applyProtection="0">
      <alignment horizontal="right"/>
    </xf>
    <xf numFmtId="191" fontId="46" fillId="0" borderId="0" applyFill="0" applyBorder="0" applyProtection="0">
      <alignment horizontal="right"/>
    </xf>
    <xf numFmtId="14" fontId="46" fillId="0" borderId="0" applyFill="0" applyBorder="0" applyProtection="0">
      <alignment horizontal="right"/>
    </xf>
    <xf numFmtId="182" fontId="46" fillId="0" borderId="0" applyFill="0" applyBorder="0" applyProtection="0">
      <alignment horizontal="right"/>
    </xf>
    <xf numFmtId="14" fontId="46" fillId="0" borderId="0" applyFill="0" applyBorder="0" applyProtection="0">
      <alignment horizontal="right"/>
    </xf>
    <xf numFmtId="14" fontId="46" fillId="0" borderId="0" applyFill="0" applyBorder="0" applyProtection="0">
      <alignment horizontal="right"/>
    </xf>
    <xf numFmtId="4" fontId="46" fillId="0" borderId="0" applyFill="0" applyBorder="0" applyProtection="0">
      <alignment wrapText="1"/>
    </xf>
    <xf numFmtId="0" fontId="45" fillId="0" borderId="18" applyNumberFormat="0" applyFill="0" applyProtection="0">
      <alignment wrapText="1"/>
    </xf>
    <xf numFmtId="0" fontId="45" fillId="0" borderId="18" applyNumberFormat="0" applyFill="0" applyProtection="0">
      <alignment wrapText="1"/>
    </xf>
    <xf numFmtId="0" fontId="45" fillId="0" borderId="18" applyNumberFormat="0" applyFill="0" applyProtection="0">
      <alignment wrapText="1"/>
    </xf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45" fillId="0" borderId="18" applyNumberFormat="0" applyFill="0" applyProtection="0">
      <alignment horizontal="center" wrapText="1"/>
    </xf>
    <xf numFmtId="0" fontId="45" fillId="0" borderId="18" applyNumberFormat="0" applyFill="0" applyProtection="0">
      <alignment horizontal="center" wrapText="1"/>
    </xf>
    <xf numFmtId="0" fontId="45" fillId="0" borderId="18" applyNumberFormat="0" applyFill="0" applyProtection="0">
      <alignment horizontal="center" wrapText="1"/>
    </xf>
    <xf numFmtId="192" fontId="45" fillId="0" borderId="0" applyFill="0" applyBorder="0" applyProtection="0">
      <alignment horizontal="center" wrapText="1"/>
    </xf>
    <xf numFmtId="0" fontId="43" fillId="0" borderId="0" applyNumberFormat="0" applyFill="0" applyBorder="0" applyProtection="0">
      <alignment horizontal="justify" wrapText="1"/>
    </xf>
    <xf numFmtId="0" fontId="45" fillId="0" borderId="0" applyNumberFormat="0" applyFill="0" applyBorder="0" applyProtection="0">
      <alignment horizontal="centerContinuous" wrapText="1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center" vertical="top" wrapText="1"/>
    </xf>
    <xf numFmtId="0" fontId="47" fillId="0" borderId="0" applyNumberFormat="0" applyFill="0" applyBorder="0" applyProtection="0">
      <alignment horizontal="center" wrapText="1"/>
    </xf>
    <xf numFmtId="0" fontId="47" fillId="0" borderId="0" applyNumberFormat="0" applyFill="0" applyBorder="0" applyProtection="0">
      <alignment horizontal="center" wrapText="1"/>
    </xf>
    <xf numFmtId="0" fontId="45" fillId="0" borderId="4" applyNumberFormat="0" applyFill="0" applyProtection="0">
      <alignment horizontal="right" wrapText="1"/>
    </xf>
    <xf numFmtId="0" fontId="48" fillId="0" borderId="0" applyNumberFormat="0" applyFill="0" applyBorder="0" applyProtection="0">
      <alignment horizontal="left" vertical="top" wrapText="1"/>
    </xf>
    <xf numFmtId="0" fontId="48" fillId="0" borderId="0" applyNumberFormat="0" applyFill="0" applyBorder="0" applyProtection="0">
      <alignment horizontal="left" wrapText="1"/>
    </xf>
    <xf numFmtId="0" fontId="48" fillId="0" borderId="0" applyNumberFormat="0" applyFill="0" applyBorder="0" applyProtection="0">
      <alignment horizontal="right" vertical="top" wrapText="1"/>
    </xf>
    <xf numFmtId="0" fontId="48" fillId="0" borderId="0" applyNumberFormat="0" applyFill="0" applyBorder="0" applyProtection="0">
      <alignment horizontal="right" wrapText="1"/>
    </xf>
    <xf numFmtId="0" fontId="48" fillId="0" borderId="0" applyNumberFormat="0" applyFill="0" applyBorder="0" applyProtection="0">
      <alignment horizontal="center" vertical="top" wrapText="1"/>
    </xf>
    <xf numFmtId="0" fontId="48" fillId="0" borderId="0" applyNumberFormat="0" applyFill="0" applyBorder="0" applyProtection="0">
      <alignment horizontal="center" wrapText="1"/>
    </xf>
    <xf numFmtId="0" fontId="49" fillId="0" borderId="0" applyNumberFormat="0" applyFill="0" applyBorder="0" applyProtection="0">
      <alignment horizontal="left" vertical="top" wrapText="1"/>
    </xf>
    <xf numFmtId="0" fontId="50" fillId="28" borderId="0" applyNumberFormat="0" applyBorder="0" applyProtection="0">
      <alignment horizontal="left" wrapText="1"/>
    </xf>
    <xf numFmtId="0" fontId="50" fillId="28" borderId="0" applyNumberFormat="0" applyBorder="0" applyProtection="0">
      <alignment horizontal="left" wrapText="1"/>
    </xf>
    <xf numFmtId="0" fontId="50" fillId="28" borderId="0" applyNumberFormat="0" applyBorder="0" applyProtection="0">
      <alignment horizontal="left"/>
    </xf>
    <xf numFmtId="0" fontId="50" fillId="28" borderId="0" applyNumberFormat="0" applyBorder="0" applyProtection="0">
      <alignment horizontal="right"/>
    </xf>
    <xf numFmtId="0" fontId="51" fillId="29" borderId="0" applyNumberFormat="0" applyBorder="0" applyProtection="0">
      <alignment vertical="top" wrapText="1"/>
    </xf>
    <xf numFmtId="193" fontId="51" fillId="29" borderId="0" applyBorder="0" applyProtection="0">
      <alignment vertical="top" wrapText="1"/>
    </xf>
    <xf numFmtId="194" fontId="44" fillId="0" borderId="0" applyFill="0" applyBorder="0" applyProtection="0">
      <alignment horizontal="left" vertical="top"/>
    </xf>
    <xf numFmtId="193" fontId="44" fillId="0" borderId="0" applyFill="0" applyBorder="0" applyProtection="0">
      <alignment horizontal="right"/>
    </xf>
    <xf numFmtId="195" fontId="44" fillId="0" borderId="0" applyFill="0" applyBorder="0" applyProtection="0">
      <alignment horizontal="right"/>
    </xf>
    <xf numFmtId="196" fontId="44" fillId="0" borderId="0" applyFill="0" applyBorder="0" applyProtection="0">
      <alignment horizontal="center"/>
    </xf>
    <xf numFmtId="0" fontId="45" fillId="0" borderId="0" applyNumberFormat="0" applyFill="0" applyBorder="0" applyAlignment="0" applyProtection="0"/>
    <xf numFmtId="196" fontId="45" fillId="0" borderId="0" applyFill="0" applyBorder="0" applyProtection="0">
      <alignment horizontal="right"/>
    </xf>
    <xf numFmtId="196" fontId="48" fillId="0" borderId="0" applyFill="0" applyBorder="0" applyProtection="0">
      <alignment horizontal="right"/>
    </xf>
    <xf numFmtId="196" fontId="49" fillId="0" borderId="0" applyFill="0" applyBorder="0" applyProtection="0">
      <alignment horizontal="right"/>
    </xf>
    <xf numFmtId="194" fontId="45" fillId="0" borderId="0" applyFill="0" applyBorder="0" applyProtection="0">
      <alignment horizontal="right"/>
    </xf>
    <xf numFmtId="194" fontId="48" fillId="0" borderId="0" applyFill="0" applyBorder="0" applyProtection="0">
      <alignment horizontal="right"/>
    </xf>
    <xf numFmtId="0" fontId="45" fillId="0" borderId="0" applyNumberFormat="0" applyFill="0" applyBorder="0" applyAlignment="0" applyProtection="0"/>
    <xf numFmtId="197" fontId="44" fillId="0" borderId="0" applyFill="0" applyBorder="0" applyProtection="0">
      <alignment horizontal="right" vertical="top" wrapText="1"/>
    </xf>
    <xf numFmtId="197" fontId="44" fillId="0" borderId="0" applyFill="0" applyBorder="0" applyProtection="0">
      <alignment horizontal="right" vertical="top" wrapText="1"/>
    </xf>
    <xf numFmtId="197" fontId="44" fillId="0" borderId="0" applyFill="0" applyBorder="0" applyProtection="0">
      <alignment horizontal="center" vertical="top" wrapText="1"/>
    </xf>
    <xf numFmtId="0" fontId="52" fillId="0" borderId="18" applyNumberFormat="0" applyFill="0" applyProtection="0">
      <alignment horizontal="left" vertical="top"/>
    </xf>
    <xf numFmtId="0" fontId="52" fillId="0" borderId="18" applyNumberFormat="0" applyFill="0" applyProtection="0">
      <alignment horizontal="left" vertical="top"/>
    </xf>
    <xf numFmtId="194" fontId="44" fillId="0" borderId="0" applyFill="0" applyBorder="0" applyProtection="0">
      <alignment horizontal="left"/>
    </xf>
    <xf numFmtId="0" fontId="45" fillId="0" borderId="0" applyNumberFormat="0" applyFill="0" applyBorder="0" applyAlignment="0" applyProtection="0"/>
    <xf numFmtId="194" fontId="45" fillId="0" borderId="0" applyFill="0" applyBorder="0" applyProtection="0">
      <alignment horizontal="right"/>
    </xf>
    <xf numFmtId="0" fontId="4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 wrapText="1"/>
    </xf>
    <xf numFmtId="0" fontId="17" fillId="0" borderId="0" applyNumberFormat="0" applyBorder="0" applyAlignment="0"/>
    <xf numFmtId="0" fontId="53" fillId="0" borderId="0" applyNumberFormat="0" applyBorder="0" applyAlignment="0"/>
    <xf numFmtId="0" fontId="54" fillId="0" borderId="0"/>
    <xf numFmtId="0" fontId="55" fillId="0" borderId="0"/>
    <xf numFmtId="0" fontId="51" fillId="0" borderId="0"/>
    <xf numFmtId="0" fontId="56" fillId="0" borderId="0"/>
    <xf numFmtId="0" fontId="57" fillId="0" borderId="0"/>
    <xf numFmtId="0" fontId="57" fillId="0" borderId="0" applyAlignment="0"/>
    <xf numFmtId="0" fontId="57" fillId="0" borderId="0" applyAlignment="0"/>
    <xf numFmtId="0" fontId="58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2" fillId="0" borderId="0" applyBorder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</cellStyleXfs>
  <cellXfs count="280">
    <xf numFmtId="0" fontId="0" fillId="0" borderId="0" xfId="0"/>
    <xf numFmtId="0" fontId="3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165" fontId="4" fillId="0" borderId="0" xfId="0" applyNumberFormat="1" applyFont="1" applyFill="1" applyBorder="1"/>
    <xf numFmtId="0" fontId="9" fillId="0" borderId="0" xfId="0" applyFont="1"/>
    <xf numFmtId="0" fontId="4" fillId="0" borderId="1" xfId="0" applyFont="1" applyBorder="1"/>
    <xf numFmtId="164" fontId="4" fillId="0" borderId="0" xfId="0" applyNumberFormat="1" applyFont="1" applyBorder="1"/>
    <xf numFmtId="168" fontId="4" fillId="0" borderId="0" xfId="0" applyNumberFormat="1" applyFont="1" applyBorder="1"/>
    <xf numFmtId="0" fontId="6" fillId="0" borderId="0" xfId="0" applyFont="1"/>
    <xf numFmtId="165" fontId="5" fillId="0" borderId="0" xfId="0" applyNumberFormat="1" applyFont="1" applyBorder="1"/>
    <xf numFmtId="165" fontId="63" fillId="0" borderId="0" xfId="0" applyNumberFormat="1" applyFont="1" applyFill="1" applyBorder="1"/>
    <xf numFmtId="7" fontId="4" fillId="0" borderId="0" xfId="0" applyNumberFormat="1" applyFont="1" applyBorder="1"/>
    <xf numFmtId="168" fontId="7" fillId="0" borderId="0" xfId="0" applyNumberFormat="1" applyFont="1" applyBorder="1"/>
    <xf numFmtId="168" fontId="64" fillId="0" borderId="0" xfId="0" applyNumberFormat="1" applyFont="1" applyBorder="1"/>
    <xf numFmtId="168" fontId="10" fillId="0" borderId="1" xfId="0" applyNumberFormat="1" applyFont="1" applyBorder="1"/>
    <xf numFmtId="168" fontId="10" fillId="0" borderId="22" xfId="0" applyNumberFormat="1" applyFont="1" applyBorder="1"/>
    <xf numFmtId="0" fontId="4" fillId="0" borderId="0" xfId="0" applyFont="1" applyAlignment="1">
      <alignment horizontal="left"/>
    </xf>
    <xf numFmtId="0" fontId="65" fillId="3" borderId="3" xfId="0" applyFont="1" applyFill="1" applyBorder="1" applyAlignment="1">
      <alignment horizontal="center"/>
    </xf>
    <xf numFmtId="164" fontId="4" fillId="0" borderId="0" xfId="0" applyNumberFormat="1" applyFont="1"/>
    <xf numFmtId="168" fontId="66" fillId="0" borderId="0" xfId="0" applyNumberFormat="1" applyFont="1" applyBorder="1"/>
    <xf numFmtId="0" fontId="4" fillId="0" borderId="24" xfId="0" applyFont="1" applyBorder="1"/>
    <xf numFmtId="0" fontId="4" fillId="0" borderId="25" xfId="0" applyFont="1" applyBorder="1"/>
    <xf numFmtId="0" fontId="7" fillId="0" borderId="0" xfId="0" applyFont="1"/>
    <xf numFmtId="0" fontId="4" fillId="0" borderId="26" xfId="0" applyFont="1" applyBorder="1"/>
    <xf numFmtId="168" fontId="7" fillId="0" borderId="26" xfId="0" applyNumberFormat="1" applyFont="1" applyBorder="1"/>
    <xf numFmtId="0" fontId="12" fillId="0" borderId="0" xfId="0" applyFont="1"/>
    <xf numFmtId="167" fontId="7" fillId="0" borderId="0" xfId="0" applyNumberFormat="1" applyFont="1" applyBorder="1"/>
    <xf numFmtId="0" fontId="8" fillId="0" borderId="0" xfId="0" applyFont="1"/>
    <xf numFmtId="0" fontId="67" fillId="0" borderId="0" xfId="0" applyFont="1"/>
    <xf numFmtId="0" fontId="2" fillId="0" borderId="0" xfId="0" applyFont="1"/>
    <xf numFmtId="0" fontId="67" fillId="0" borderId="0" xfId="0" applyFont="1" applyFill="1" applyBorder="1"/>
    <xf numFmtId="0" fontId="71" fillId="0" borderId="0" xfId="0" applyFont="1"/>
    <xf numFmtId="0" fontId="67" fillId="0" borderId="0" xfId="0" applyFont="1" applyBorder="1"/>
    <xf numFmtId="0" fontId="67" fillId="0" borderId="26" xfId="0" applyFont="1" applyBorder="1"/>
    <xf numFmtId="0" fontId="72" fillId="2" borderId="0" xfId="0" applyFont="1" applyFill="1" applyBorder="1"/>
    <xf numFmtId="0" fontId="75" fillId="2" borderId="2" xfId="0" applyFont="1" applyFill="1" applyBorder="1"/>
    <xf numFmtId="0" fontId="67" fillId="0" borderId="24" xfId="0" applyFont="1" applyFill="1" applyBorder="1"/>
    <xf numFmtId="0" fontId="67" fillId="0" borderId="24" xfId="0" applyFont="1" applyBorder="1"/>
    <xf numFmtId="0" fontId="67" fillId="0" borderId="25" xfId="0" applyFont="1" applyBorder="1"/>
    <xf numFmtId="0" fontId="68" fillId="0" borderId="0" xfId="0" applyFont="1"/>
    <xf numFmtId="0" fontId="67" fillId="0" borderId="1" xfId="0" applyFont="1" applyBorder="1"/>
    <xf numFmtId="164" fontId="67" fillId="0" borderId="0" xfId="0" applyNumberFormat="1" applyFont="1"/>
    <xf numFmtId="168" fontId="67" fillId="0" borderId="0" xfId="0" applyNumberFormat="1" applyFont="1" applyBorder="1"/>
    <xf numFmtId="0" fontId="71" fillId="0" borderId="0" xfId="0" applyFont="1" applyBorder="1"/>
    <xf numFmtId="164" fontId="71" fillId="0" borderId="0" xfId="0" applyNumberFormat="1" applyFont="1" applyBorder="1"/>
    <xf numFmtId="168" fontId="77" fillId="0" borderId="0" xfId="0" applyNumberFormat="1" applyFont="1" applyBorder="1"/>
    <xf numFmtId="0" fontId="78" fillId="2" borderId="0" xfId="0" applyFont="1" applyFill="1"/>
    <xf numFmtId="0" fontId="72" fillId="2" borderId="0" xfId="0" applyFont="1" applyFill="1"/>
    <xf numFmtId="0" fontId="72" fillId="2" borderId="20" xfId="0" applyFont="1" applyFill="1" applyBorder="1" applyAlignment="1">
      <alignment horizontal="centerContinuous"/>
    </xf>
    <xf numFmtId="0" fontId="72" fillId="2" borderId="21" xfId="0" applyFont="1" applyFill="1" applyBorder="1" applyAlignment="1">
      <alignment horizontal="centerContinuous"/>
    </xf>
    <xf numFmtId="0" fontId="72" fillId="2" borderId="0" xfId="0" applyFont="1" applyFill="1" applyAlignment="1">
      <alignment horizontal="center"/>
    </xf>
    <xf numFmtId="164" fontId="67" fillId="0" borderId="0" xfId="0" applyNumberFormat="1" applyFont="1" applyBorder="1"/>
    <xf numFmtId="164" fontId="67" fillId="0" borderId="26" xfId="0" applyNumberFormat="1" applyFont="1" applyBorder="1"/>
    <xf numFmtId="165" fontId="67" fillId="0" borderId="0" xfId="0" applyNumberFormat="1" applyFont="1" applyBorder="1"/>
    <xf numFmtId="165" fontId="67" fillId="0" borderId="1" xfId="0" applyNumberFormat="1" applyFont="1" applyBorder="1"/>
    <xf numFmtId="165" fontId="67" fillId="0" borderId="22" xfId="0" applyNumberFormat="1" applyFont="1" applyBorder="1"/>
    <xf numFmtId="165" fontId="67" fillId="0" borderId="7" xfId="0" applyNumberFormat="1" applyFont="1" applyBorder="1"/>
    <xf numFmtId="165" fontId="67" fillId="0" borderId="0" xfId="0" applyNumberFormat="1" applyFont="1" applyFill="1" applyBorder="1"/>
    <xf numFmtId="164" fontId="71" fillId="0" borderId="1" xfId="0" applyNumberFormat="1" applyFont="1" applyBorder="1"/>
    <xf numFmtId="164" fontId="71" fillId="0" borderId="22" xfId="0" applyNumberFormat="1" applyFont="1" applyBorder="1"/>
    <xf numFmtId="164" fontId="71" fillId="0" borderId="7" xfId="0" applyNumberFormat="1" applyFont="1" applyBorder="1"/>
    <xf numFmtId="165" fontId="67" fillId="0" borderId="26" xfId="0" applyNumberFormat="1" applyFont="1" applyBorder="1"/>
    <xf numFmtId="165" fontId="74" fillId="0" borderId="0" xfId="0" applyNumberFormat="1" applyFont="1" applyBorder="1"/>
    <xf numFmtId="165" fontId="74" fillId="0" borderId="0" xfId="0" applyNumberFormat="1" applyFont="1"/>
    <xf numFmtId="7" fontId="71" fillId="0" borderId="26" xfId="0" applyNumberFormat="1" applyFont="1" applyBorder="1"/>
    <xf numFmtId="7" fontId="71" fillId="0" borderId="0" xfId="0" applyNumberFormat="1" applyFont="1" applyBorder="1"/>
    <xf numFmtId="0" fontId="79" fillId="0" borderId="1" xfId="0" applyFont="1" applyBorder="1"/>
    <xf numFmtId="0" fontId="71" fillId="0" borderId="1" xfId="0" applyFont="1" applyBorder="1"/>
    <xf numFmtId="7" fontId="71" fillId="0" borderId="22" xfId="0" applyNumberFormat="1" applyFont="1" applyBorder="1"/>
    <xf numFmtId="7" fontId="71" fillId="0" borderId="1" xfId="0" applyNumberFormat="1" applyFont="1" applyBorder="1"/>
    <xf numFmtId="7" fontId="67" fillId="0" borderId="0" xfId="0" applyNumberFormat="1" applyFont="1" applyBorder="1"/>
    <xf numFmtId="165" fontId="67" fillId="0" borderId="24" xfId="0" applyNumberFormat="1" applyFont="1" applyBorder="1"/>
    <xf numFmtId="164" fontId="67" fillId="0" borderId="1" xfId="0" applyNumberFormat="1" applyFont="1" applyBorder="1"/>
    <xf numFmtId="164" fontId="67" fillId="0" borderId="22" xfId="0" applyNumberFormat="1" applyFont="1" applyBorder="1"/>
    <xf numFmtId="165" fontId="74" fillId="0" borderId="26" xfId="0" applyNumberFormat="1" applyFont="1" applyBorder="1"/>
    <xf numFmtId="164" fontId="80" fillId="0" borderId="1" xfId="0" applyNumberFormat="1" applyFont="1" applyBorder="1"/>
    <xf numFmtId="0" fontId="67" fillId="0" borderId="22" xfId="0" applyFont="1" applyBorder="1"/>
    <xf numFmtId="0" fontId="79" fillId="0" borderId="0" xfId="0" applyFont="1"/>
    <xf numFmtId="0" fontId="74" fillId="0" borderId="0" xfId="0" applyFont="1" applyBorder="1"/>
    <xf numFmtId="168" fontId="67" fillId="0" borderId="26" xfId="0" applyNumberFormat="1" applyFont="1" applyBorder="1"/>
    <xf numFmtId="168" fontId="73" fillId="0" borderId="0" xfId="0" applyNumberFormat="1" applyFont="1" applyBorder="1"/>
    <xf numFmtId="168" fontId="67" fillId="0" borderId="22" xfId="0" applyNumberFormat="1" applyFont="1" applyBorder="1"/>
    <xf numFmtId="168" fontId="74" fillId="0" borderId="7" xfId="0" applyNumberFormat="1" applyFont="1" applyBorder="1"/>
    <xf numFmtId="168" fontId="74" fillId="0" borderId="1" xfId="0" applyNumberFormat="1" applyFont="1" applyBorder="1"/>
    <xf numFmtId="168" fontId="71" fillId="0" borderId="1" xfId="0" applyNumberFormat="1" applyFont="1" applyBorder="1"/>
    <xf numFmtId="168" fontId="71" fillId="0" borderId="22" xfId="0" applyNumberFormat="1" applyFont="1" applyBorder="1"/>
    <xf numFmtId="0" fontId="72" fillId="2" borderId="0" xfId="0" applyFont="1" applyFill="1" applyBorder="1" applyAlignment="1">
      <alignment horizontal="center"/>
    </xf>
    <xf numFmtId="0" fontId="72" fillId="2" borderId="0" xfId="0" applyFont="1" applyFill="1" applyAlignment="1">
      <alignment horizontal="right"/>
    </xf>
    <xf numFmtId="165" fontId="67" fillId="0" borderId="31" xfId="0" applyNumberFormat="1" applyFont="1" applyBorder="1"/>
    <xf numFmtId="164" fontId="71" fillId="0" borderId="26" xfId="0" applyNumberFormat="1" applyFont="1" applyBorder="1"/>
    <xf numFmtId="4" fontId="67" fillId="0" borderId="0" xfId="0" applyNumberFormat="1" applyFont="1"/>
    <xf numFmtId="165" fontId="71" fillId="0" borderId="0" xfId="0" applyNumberFormat="1" applyFont="1" applyBorder="1"/>
    <xf numFmtId="165" fontId="71" fillId="0" borderId="26" xfId="0" applyNumberFormat="1" applyFont="1" applyBorder="1"/>
    <xf numFmtId="167" fontId="67" fillId="0" borderId="24" xfId="0" applyNumberFormat="1" applyFont="1" applyBorder="1"/>
    <xf numFmtId="0" fontId="72" fillId="2" borderId="28" xfId="0" applyFont="1" applyFill="1" applyBorder="1" applyAlignment="1">
      <alignment horizontal="centerContinuous"/>
    </xf>
    <xf numFmtId="165" fontId="71" fillId="0" borderId="1" xfId="0" applyNumberFormat="1" applyFont="1" applyBorder="1"/>
    <xf numFmtId="0" fontId="67" fillId="0" borderId="0" xfId="0" applyFont="1" applyAlignment="1">
      <alignment horizontal="left"/>
    </xf>
    <xf numFmtId="0" fontId="72" fillId="2" borderId="0" xfId="0" applyFont="1" applyFill="1" applyBorder="1" applyAlignment="1">
      <alignment horizontal="centerContinuous"/>
    </xf>
    <xf numFmtId="0" fontId="74" fillId="0" borderId="0" xfId="0" applyFont="1" applyFill="1" applyBorder="1"/>
    <xf numFmtId="0" fontId="74" fillId="0" borderId="0" xfId="0" applyFont="1"/>
    <xf numFmtId="165" fontId="74" fillId="0" borderId="0" xfId="0" applyNumberFormat="1" applyFont="1" applyFill="1" applyBorder="1"/>
    <xf numFmtId="164" fontId="82" fillId="0" borderId="0" xfId="0" applyNumberFormat="1" applyFont="1" applyBorder="1"/>
    <xf numFmtId="164" fontId="82" fillId="0" borderId="26" xfId="0" applyNumberFormat="1" applyFont="1" applyBorder="1"/>
    <xf numFmtId="164" fontId="67" fillId="0" borderId="0" xfId="0" applyNumberFormat="1" applyFont="1" applyFill="1" applyBorder="1"/>
    <xf numFmtId="0" fontId="67" fillId="0" borderId="23" xfId="0" applyFont="1" applyBorder="1"/>
    <xf numFmtId="168" fontId="77" fillId="0" borderId="0" xfId="0" applyNumberFormat="1" applyFont="1" applyFill="1" applyBorder="1"/>
    <xf numFmtId="164" fontId="67" fillId="0" borderId="7" xfId="0" applyNumberFormat="1" applyFont="1" applyBorder="1"/>
    <xf numFmtId="164" fontId="74" fillId="0" borderId="0" xfId="0" applyNumberFormat="1" applyFont="1" applyBorder="1"/>
    <xf numFmtId="168" fontId="74" fillId="0" borderId="0" xfId="0" applyNumberFormat="1" applyFont="1" applyBorder="1"/>
    <xf numFmtId="0" fontId="84" fillId="0" borderId="0" xfId="0" applyFont="1"/>
    <xf numFmtId="165" fontId="73" fillId="0" borderId="0" xfId="0" applyNumberFormat="1" applyFont="1" applyBorder="1"/>
    <xf numFmtId="165" fontId="73" fillId="0" borderId="26" xfId="0" applyNumberFormat="1" applyFont="1" applyBorder="1"/>
    <xf numFmtId="165" fontId="73" fillId="0" borderId="0" xfId="0" applyNumberFormat="1" applyFont="1"/>
    <xf numFmtId="0" fontId="75" fillId="2" borderId="0" xfId="0" applyFont="1" applyFill="1" applyBorder="1"/>
    <xf numFmtId="0" fontId="72" fillId="2" borderId="29" xfId="0" applyFont="1" applyFill="1" applyBorder="1" applyAlignment="1">
      <alignment horizontal="centerContinuous"/>
    </xf>
    <xf numFmtId="0" fontId="72" fillId="2" borderId="30" xfId="0" applyFont="1" applyFill="1" applyBorder="1"/>
    <xf numFmtId="164" fontId="76" fillId="0" borderId="0" xfId="0" applyNumberFormat="1" applyFont="1" applyFill="1" applyBorder="1"/>
    <xf numFmtId="164" fontId="76" fillId="0" borderId="31" xfId="0" applyNumberFormat="1" applyFont="1" applyFill="1" applyBorder="1"/>
    <xf numFmtId="165" fontId="76" fillId="0" borderId="0" xfId="0" applyNumberFormat="1" applyFont="1" applyFill="1" applyBorder="1"/>
    <xf numFmtId="165" fontId="76" fillId="0" borderId="31" xfId="0" applyNumberFormat="1" applyFont="1" applyFill="1" applyBorder="1"/>
    <xf numFmtId="0" fontId="77" fillId="0" borderId="0" xfId="0" applyFont="1"/>
    <xf numFmtId="168" fontId="77" fillId="0" borderId="31" xfId="0" applyNumberFormat="1" applyFont="1" applyFill="1" applyBorder="1"/>
    <xf numFmtId="168" fontId="87" fillId="0" borderId="0" xfId="0" applyNumberFormat="1" applyFont="1" applyFill="1" applyBorder="1"/>
    <xf numFmtId="0" fontId="67" fillId="0" borderId="31" xfId="0" applyFont="1" applyFill="1" applyBorder="1"/>
    <xf numFmtId="165" fontId="88" fillId="0" borderId="0" xfId="0" applyNumberFormat="1" applyFont="1" applyFill="1" applyBorder="1"/>
    <xf numFmtId="165" fontId="67" fillId="0" borderId="31" xfId="0" applyNumberFormat="1" applyFont="1" applyFill="1" applyBorder="1"/>
    <xf numFmtId="165" fontId="76" fillId="0" borderId="1" xfId="0" applyNumberFormat="1" applyFont="1" applyFill="1" applyBorder="1"/>
    <xf numFmtId="165" fontId="76" fillId="0" borderId="22" xfId="0" applyNumberFormat="1" applyFont="1" applyFill="1" applyBorder="1"/>
    <xf numFmtId="165" fontId="67" fillId="0" borderId="1" xfId="0" applyNumberFormat="1" applyFont="1" applyFill="1" applyBorder="1"/>
    <xf numFmtId="0" fontId="67" fillId="0" borderId="31" xfId="0" applyFont="1" applyBorder="1"/>
    <xf numFmtId="165" fontId="73" fillId="0" borderId="31" xfId="0" applyNumberFormat="1" applyFont="1" applyBorder="1"/>
    <xf numFmtId="0" fontId="67" fillId="0" borderId="0" xfId="0" applyFont="1" applyBorder="1" applyAlignment="1">
      <alignment horizontal="centerContinuous"/>
    </xf>
    <xf numFmtId="0" fontId="73" fillId="0" borderId="31" xfId="0" applyFont="1" applyBorder="1"/>
    <xf numFmtId="164" fontId="89" fillId="0" borderId="0" xfId="0" applyNumberFormat="1" applyFont="1" applyFill="1" applyBorder="1"/>
    <xf numFmtId="164" fontId="89" fillId="0" borderId="31" xfId="0" applyNumberFormat="1" applyFont="1" applyFill="1" applyBorder="1"/>
    <xf numFmtId="168" fontId="77" fillId="0" borderId="31" xfId="0" applyNumberFormat="1" applyFont="1" applyBorder="1"/>
    <xf numFmtId="164" fontId="76" fillId="0" borderId="0" xfId="0" applyNumberFormat="1" applyFont="1" applyBorder="1"/>
    <xf numFmtId="164" fontId="76" fillId="0" borderId="26" xfId="0" applyNumberFormat="1" applyFont="1" applyBorder="1"/>
    <xf numFmtId="165" fontId="76" fillId="0" borderId="0" xfId="0" applyNumberFormat="1" applyFont="1" applyBorder="1"/>
    <xf numFmtId="165" fontId="76" fillId="0" borderId="26" xfId="0" applyNumberFormat="1" applyFont="1" applyBorder="1"/>
    <xf numFmtId="168" fontId="77" fillId="0" borderId="26" xfId="0" applyNumberFormat="1" applyFont="1" applyBorder="1"/>
    <xf numFmtId="168" fontId="87" fillId="0" borderId="0" xfId="0" applyNumberFormat="1" applyFont="1" applyBorder="1"/>
    <xf numFmtId="168" fontId="81" fillId="0" borderId="0" xfId="0" applyNumberFormat="1" applyFont="1" applyBorder="1"/>
    <xf numFmtId="0" fontId="73" fillId="0" borderId="26" xfId="0" applyFont="1" applyBorder="1"/>
    <xf numFmtId="0" fontId="67" fillId="0" borderId="0" xfId="0" applyFont="1" applyAlignment="1">
      <alignment horizontal="centerContinuous"/>
    </xf>
    <xf numFmtId="168" fontId="77" fillId="0" borderId="26" xfId="0" applyNumberFormat="1" applyFont="1" applyFill="1" applyBorder="1"/>
    <xf numFmtId="0" fontId="68" fillId="0" borderId="0" xfId="0" applyFont="1" applyFill="1"/>
    <xf numFmtId="0" fontId="86" fillId="0" borderId="0" xfId="0" applyFont="1"/>
    <xf numFmtId="165" fontId="76" fillId="0" borderId="31" xfId="0" applyNumberFormat="1" applyFont="1" applyBorder="1"/>
    <xf numFmtId="0" fontId="67" fillId="0" borderId="0" xfId="0" applyFont="1" applyFill="1"/>
    <xf numFmtId="165" fontId="90" fillId="0" borderId="0" xfId="0" applyNumberFormat="1" applyFont="1" applyBorder="1"/>
    <xf numFmtId="0" fontId="71" fillId="0" borderId="0" xfId="0" applyFont="1" applyFill="1"/>
    <xf numFmtId="0" fontId="71" fillId="0" borderId="24" xfId="0" applyFont="1" applyFill="1" applyBorder="1"/>
    <xf numFmtId="0" fontId="91" fillId="0" borderId="0" xfId="0" applyFont="1"/>
    <xf numFmtId="0" fontId="83" fillId="0" borderId="0" xfId="0" applyFont="1"/>
    <xf numFmtId="168" fontId="92" fillId="0" borderId="0" xfId="0" applyNumberFormat="1" applyFont="1" applyBorder="1"/>
    <xf numFmtId="165" fontId="76" fillId="0" borderId="1" xfId="0" applyNumberFormat="1" applyFont="1" applyBorder="1"/>
    <xf numFmtId="165" fontId="76" fillId="0" borderId="22" xfId="0" applyNumberFormat="1" applyFont="1" applyBorder="1"/>
    <xf numFmtId="165" fontId="90" fillId="0" borderId="26" xfId="0" applyNumberFormat="1" applyFont="1" applyBorder="1"/>
    <xf numFmtId="168" fontId="90" fillId="0" borderId="0" xfId="0" applyNumberFormat="1" applyFont="1" applyBorder="1"/>
    <xf numFmtId="168" fontId="90" fillId="0" borderId="26" xfId="0" applyNumberFormat="1" applyFont="1" applyBorder="1"/>
    <xf numFmtId="4" fontId="91" fillId="0" borderId="0" xfId="0" applyNumberFormat="1" applyFont="1"/>
    <xf numFmtId="0" fontId="84" fillId="0" borderId="0" xfId="0" applyFont="1" applyBorder="1"/>
    <xf numFmtId="0" fontId="74" fillId="0" borderId="24" xfId="0" applyFont="1" applyBorder="1"/>
    <xf numFmtId="0" fontId="85" fillId="0" borderId="0" xfId="0" applyFont="1" applyBorder="1"/>
    <xf numFmtId="165" fontId="73" fillId="0" borderId="8" xfId="0" applyNumberFormat="1" applyFont="1" applyBorder="1"/>
    <xf numFmtId="7" fontId="73" fillId="0" borderId="0" xfId="0" applyNumberFormat="1" applyFont="1" applyBorder="1"/>
    <xf numFmtId="164" fontId="73" fillId="0" borderId="1" xfId="0" applyNumberFormat="1" applyFont="1" applyBorder="1"/>
    <xf numFmtId="164" fontId="73" fillId="0" borderId="22" xfId="0" applyNumberFormat="1" applyFont="1" applyBorder="1"/>
    <xf numFmtId="164" fontId="74" fillId="0" borderId="1" xfId="0" applyNumberFormat="1" applyFont="1" applyBorder="1"/>
    <xf numFmtId="0" fontId="84" fillId="0" borderId="0" xfId="0" applyFont="1" applyAlignment="1">
      <alignment horizontal="centerContinuous"/>
    </xf>
    <xf numFmtId="0" fontId="84" fillId="0" borderId="0" xfId="0" applyFont="1" applyBorder="1" applyAlignment="1">
      <alignment horizontal="right"/>
    </xf>
    <xf numFmtId="0" fontId="84" fillId="0" borderId="26" xfId="0" applyFont="1" applyBorder="1" applyAlignment="1">
      <alignment horizontal="right"/>
    </xf>
    <xf numFmtId="165" fontId="88" fillId="0" borderId="0" xfId="0" applyNumberFormat="1" applyFont="1" applyBorder="1"/>
    <xf numFmtId="168" fontId="88" fillId="0" borderId="0" xfId="0" applyNumberFormat="1" applyFont="1" applyBorder="1"/>
    <xf numFmtId="168" fontId="93" fillId="0" borderId="0" xfId="0" applyNumberFormat="1" applyFont="1" applyBorder="1"/>
    <xf numFmtId="168" fontId="88" fillId="0" borderId="0" xfId="0" applyNumberFormat="1" applyFont="1" applyFill="1" applyBorder="1"/>
    <xf numFmtId="168" fontId="67" fillId="0" borderId="0" xfId="0" applyNumberFormat="1" applyFont="1" applyFill="1" applyBorder="1"/>
    <xf numFmtId="15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0" fontId="29" fillId="0" borderId="0" xfId="0" applyFont="1"/>
    <xf numFmtId="4" fontId="29" fillId="0" borderId="1" xfId="0" applyNumberFormat="1" applyFont="1" applyBorder="1"/>
    <xf numFmtId="4" fontId="29" fillId="0" borderId="32" xfId="0" applyNumberFormat="1" applyFont="1" applyBorder="1"/>
    <xf numFmtId="4" fontId="29" fillId="0" borderId="0" xfId="0" applyNumberFormat="1" applyFont="1"/>
    <xf numFmtId="0" fontId="0" fillId="0" borderId="2" xfId="0" applyBorder="1"/>
    <xf numFmtId="0" fontId="0" fillId="0" borderId="1" xfId="0" applyBorder="1"/>
    <xf numFmtId="0" fontId="94" fillId="0" borderId="0" xfId="0" applyFont="1"/>
    <xf numFmtId="0" fontId="95" fillId="0" borderId="0" xfId="0" applyFont="1"/>
    <xf numFmtId="0" fontId="29" fillId="0" borderId="0" xfId="0" applyFont="1" applyAlignment="1">
      <alignment horizontal="center"/>
    </xf>
    <xf numFmtId="198" fontId="2" fillId="0" borderId="0" xfId="303" applyNumberFormat="1" applyFont="1"/>
    <xf numFmtId="10" fontId="2" fillId="0" borderId="0" xfId="0" applyNumberFormat="1" applyFont="1" applyAlignment="1">
      <alignment horizontal="right"/>
    </xf>
    <xf numFmtId="10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198" fontId="0" fillId="0" borderId="0" xfId="303" applyNumberFormat="1" applyFont="1"/>
    <xf numFmtId="43" fontId="2" fillId="0" borderId="0" xfId="303" applyFont="1"/>
    <xf numFmtId="198" fontId="2" fillId="0" borderId="0" xfId="303" applyNumberFormat="1" applyFont="1" applyFill="1"/>
    <xf numFmtId="0" fontId="2" fillId="0" borderId="0" xfId="0" applyFont="1" applyAlignment="1"/>
    <xf numFmtId="43" fontId="2" fillId="0" borderId="0" xfId="303" quotePrefix="1" applyFont="1" applyAlignment="1">
      <alignment horizontal="right"/>
    </xf>
    <xf numFmtId="198" fontId="29" fillId="0" borderId="0" xfId="303" applyNumberFormat="1" applyFont="1"/>
    <xf numFmtId="10" fontId="29" fillId="0" borderId="0" xfId="0" applyNumberFormat="1" applyFont="1" applyAlignment="1">
      <alignment horizontal="right"/>
    </xf>
    <xf numFmtId="10" fontId="29" fillId="0" borderId="0" xfId="0" applyNumberFormat="1" applyFont="1"/>
    <xf numFmtId="3" fontId="29" fillId="0" borderId="0" xfId="0" applyNumberFormat="1" applyFont="1"/>
    <xf numFmtId="9" fontId="0" fillId="0" borderId="0" xfId="0" applyNumberFormat="1"/>
    <xf numFmtId="198" fontId="0" fillId="0" borderId="0" xfId="0" applyNumberFormat="1"/>
    <xf numFmtId="43" fontId="0" fillId="0" borderId="0" xfId="0" applyNumberFormat="1"/>
    <xf numFmtId="0" fontId="97" fillId="0" borderId="0" xfId="0" applyFont="1" applyAlignment="1">
      <alignment horizontal="center"/>
    </xf>
    <xf numFmtId="0" fontId="98" fillId="0" borderId="0" xfId="0" applyFont="1" applyAlignment="1"/>
    <xf numFmtId="0" fontId="98" fillId="0" borderId="0" xfId="0" applyFont="1"/>
    <xf numFmtId="0" fontId="97" fillId="0" borderId="0" xfId="0" applyFont="1" applyAlignment="1">
      <alignment horizontal="center" wrapText="1"/>
    </xf>
    <xf numFmtId="0" fontId="98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97" fillId="32" borderId="3" xfId="0" applyNumberFormat="1" applyFont="1" applyFill="1" applyBorder="1" applyAlignment="1">
      <alignment horizontal="left" vertical="top" wrapText="1" readingOrder="1"/>
    </xf>
    <xf numFmtId="0" fontId="97" fillId="32" borderId="3" xfId="0" applyNumberFormat="1" applyFont="1" applyFill="1" applyBorder="1" applyAlignment="1">
      <alignment horizontal="center" vertical="top" wrapText="1" readingOrder="1"/>
    </xf>
    <xf numFmtId="0" fontId="98" fillId="0" borderId="0" xfId="0" applyNumberFormat="1" applyFont="1" applyBorder="1" applyAlignment="1">
      <alignment horizontal="center"/>
    </xf>
    <xf numFmtId="0" fontId="98" fillId="0" borderId="2" xfId="0" applyNumberFormat="1" applyFont="1" applyBorder="1" applyAlignment="1">
      <alignment horizontal="center"/>
    </xf>
    <xf numFmtId="0" fontId="98" fillId="0" borderId="3" xfId="0" applyFont="1" applyBorder="1"/>
    <xf numFmtId="198" fontId="98" fillId="0" borderId="3" xfId="303" applyNumberFormat="1" applyFont="1" applyBorder="1"/>
    <xf numFmtId="3" fontId="98" fillId="0" borderId="3" xfId="0" applyNumberFormat="1" applyFont="1" applyFill="1" applyBorder="1"/>
    <xf numFmtId="10" fontId="98" fillId="0" borderId="3" xfId="305" applyNumberFormat="1" applyFont="1" applyFill="1" applyBorder="1"/>
    <xf numFmtId="10" fontId="98" fillId="0" borderId="3" xfId="305" applyNumberFormat="1" applyFont="1" applyBorder="1"/>
    <xf numFmtId="199" fontId="98" fillId="0" borderId="3" xfId="304" applyNumberFormat="1" applyFont="1" applyBorder="1"/>
    <xf numFmtId="44" fontId="98" fillId="0" borderId="3" xfId="304" applyFont="1" applyBorder="1"/>
    <xf numFmtId="15" fontId="98" fillId="0" borderId="3" xfId="0" applyNumberFormat="1" applyFont="1" applyBorder="1"/>
    <xf numFmtId="0" fontId="99" fillId="0" borderId="3" xfId="0" applyFont="1" applyBorder="1"/>
    <xf numFmtId="15" fontId="98" fillId="0" borderId="3" xfId="0" quotePrefix="1" applyNumberFormat="1" applyFont="1" applyBorder="1"/>
    <xf numFmtId="200" fontId="98" fillId="0" borderId="3" xfId="304" applyNumberFormat="1" applyFont="1" applyBorder="1"/>
    <xf numFmtId="0" fontId="98" fillId="0" borderId="3" xfId="0" applyFont="1" applyBorder="1" applyAlignment="1">
      <alignment horizontal="left" wrapText="1"/>
    </xf>
    <xf numFmtId="49" fontId="98" fillId="0" borderId="3" xfId="0" applyNumberFormat="1" applyFont="1" applyBorder="1" applyAlignment="1">
      <alignment horizontal="left" wrapText="1" readingOrder="1"/>
    </xf>
    <xf numFmtId="198" fontId="98" fillId="0" borderId="3" xfId="303" applyNumberFormat="1" applyFont="1" applyFill="1" applyBorder="1"/>
    <xf numFmtId="49" fontId="97" fillId="0" borderId="0" xfId="0" applyNumberFormat="1" applyFont="1" applyAlignment="1">
      <alignment horizontal="left" wrapText="1" readingOrder="1"/>
    </xf>
    <xf numFmtId="198" fontId="97" fillId="0" borderId="0" xfId="303" applyNumberFormat="1" applyFont="1"/>
    <xf numFmtId="198" fontId="97" fillId="0" borderId="0" xfId="303" applyNumberFormat="1" applyFont="1" applyFill="1"/>
    <xf numFmtId="9" fontId="97" fillId="0" borderId="0" xfId="305" applyFont="1" applyFill="1"/>
    <xf numFmtId="3" fontId="97" fillId="0" borderId="0" xfId="0" applyNumberFormat="1" applyFont="1"/>
    <xf numFmtId="10" fontId="97" fillId="0" borderId="0" xfId="0" applyNumberFormat="1" applyFont="1"/>
    <xf numFmtId="0" fontId="97" fillId="0" borderId="0" xfId="0" applyFont="1"/>
    <xf numFmtId="0" fontId="98" fillId="0" borderId="0" xfId="0" applyFont="1" applyAlignment="1">
      <alignment horizontal="left" wrapText="1"/>
    </xf>
    <xf numFmtId="3" fontId="98" fillId="0" borderId="0" xfId="0" applyNumberFormat="1" applyFont="1"/>
    <xf numFmtId="0" fontId="98" fillId="0" borderId="0" xfId="0" applyFont="1" applyFill="1"/>
    <xf numFmtId="0" fontId="98" fillId="0" borderId="0" xfId="0" applyFont="1" applyAlignment="1">
      <alignment wrapText="1"/>
    </xf>
    <xf numFmtId="198" fontId="98" fillId="0" borderId="0" xfId="0" applyNumberFormat="1" applyFont="1" applyFill="1"/>
    <xf numFmtId="198" fontId="98" fillId="0" borderId="0" xfId="0" applyNumberFormat="1" applyFont="1"/>
    <xf numFmtId="3" fontId="98" fillId="0" borderId="0" xfId="0" applyNumberFormat="1" applyFont="1" applyFill="1"/>
    <xf numFmtId="0" fontId="96" fillId="0" borderId="0" xfId="0" applyFont="1"/>
    <xf numFmtId="0" fontId="96" fillId="0" borderId="0" xfId="0" applyFont="1" applyAlignment="1">
      <alignment horizontal="center"/>
    </xf>
    <xf numFmtId="0" fontId="98" fillId="0" borderId="0" xfId="0" applyFont="1" applyAlignment="1">
      <alignment vertical="top" wrapText="1"/>
    </xf>
    <xf numFmtId="8" fontId="98" fillId="0" borderId="0" xfId="0" applyNumberFormat="1" applyFont="1" applyAlignment="1">
      <alignment horizontal="center" vertical="top" wrapText="1"/>
    </xf>
    <xf numFmtId="0" fontId="72" fillId="2" borderId="33" xfId="0" applyFont="1" applyFill="1" applyBorder="1" applyAlignment="1">
      <alignment horizontal="center"/>
    </xf>
    <xf numFmtId="44" fontId="98" fillId="0" borderId="0" xfId="0" applyNumberFormat="1" applyFont="1"/>
    <xf numFmtId="4" fontId="29" fillId="0" borderId="23" xfId="0" applyNumberFormat="1" applyFont="1" applyBorder="1"/>
    <xf numFmtId="165" fontId="76" fillId="0" borderId="26" xfId="0" applyNumberFormat="1" applyFont="1" applyFill="1" applyBorder="1"/>
    <xf numFmtId="198" fontId="0" fillId="0" borderId="23" xfId="0" applyNumberFormat="1" applyBorder="1"/>
    <xf numFmtId="4" fontId="0" fillId="0" borderId="34" xfId="0" applyNumberFormat="1" applyBorder="1"/>
    <xf numFmtId="0" fontId="72" fillId="2" borderId="33" xfId="0" applyFont="1" applyFill="1" applyBorder="1"/>
    <xf numFmtId="0" fontId="67" fillId="0" borderId="35" xfId="0" applyFont="1" applyBorder="1"/>
    <xf numFmtId="14" fontId="72" fillId="2" borderId="33" xfId="0" applyNumberFormat="1" applyFont="1" applyFill="1" applyBorder="1" applyAlignment="1">
      <alignment horizontal="center"/>
    </xf>
    <xf numFmtId="164" fontId="76" fillId="0" borderId="1" xfId="0" applyNumberFormat="1" applyFont="1" applyBorder="1"/>
    <xf numFmtId="0" fontId="70" fillId="0" borderId="0" xfId="0" applyFont="1"/>
    <xf numFmtId="14" fontId="72" fillId="2" borderId="27" xfId="0" applyNumberFormat="1" applyFont="1" applyFill="1" applyBorder="1" applyAlignment="1">
      <alignment horizontal="center"/>
    </xf>
    <xf numFmtId="0" fontId="72" fillId="2" borderId="29" xfId="0" applyFont="1" applyFill="1" applyBorder="1" applyAlignment="1">
      <alignment horizontal="center"/>
    </xf>
    <xf numFmtId="168" fontId="71" fillId="0" borderId="0" xfId="0" applyNumberFormat="1" applyFont="1" applyBorder="1"/>
    <xf numFmtId="14" fontId="72" fillId="2" borderId="36" xfId="0" applyNumberFormat="1" applyFont="1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left"/>
    </xf>
    <xf numFmtId="0" fontId="102" fillId="0" borderId="0" xfId="0" applyFont="1"/>
    <xf numFmtId="14" fontId="0" fillId="33" borderId="0" xfId="0" applyNumberFormat="1" applyFill="1" applyAlignment="1">
      <alignment horizontal="left"/>
    </xf>
    <xf numFmtId="0" fontId="72" fillId="2" borderId="5" xfId="0" applyFont="1" applyFill="1" applyBorder="1"/>
    <xf numFmtId="0" fontId="72" fillId="2" borderId="6" xfId="0" applyFont="1" applyFill="1" applyBorder="1"/>
    <xf numFmtId="14" fontId="72" fillId="2" borderId="0" xfId="0" applyNumberFormat="1" applyFont="1" applyFill="1" applyBorder="1" applyAlignment="1">
      <alignment horizontal="center"/>
    </xf>
    <xf numFmtId="14" fontId="72" fillId="2" borderId="0" xfId="0" applyNumberFormat="1" applyFont="1" applyFill="1" applyAlignment="1">
      <alignment horizontal="right"/>
    </xf>
    <xf numFmtId="0" fontId="97" fillId="0" borderId="0" xfId="0" applyFont="1" applyAlignment="1">
      <alignment horizontal="center"/>
    </xf>
    <xf numFmtId="0" fontId="0" fillId="0" borderId="0" xfId="0" applyAlignment="1"/>
    <xf numFmtId="0" fontId="98" fillId="0" borderId="0" xfId="0" applyFont="1" applyAlignment="1">
      <alignment horizontal="left" wrapText="1"/>
    </xf>
    <xf numFmtId="0" fontId="98" fillId="0" borderId="0" xfId="0" applyFont="1" applyAlignment="1">
      <alignment wrapText="1"/>
    </xf>
    <xf numFmtId="0" fontId="96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310">
    <cellStyle name="$" xfId="4" xr:uid="{00000000-0005-0000-0000-000000000000}"/>
    <cellStyle name="20% - Accent1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3 2" xfId="9" xr:uid="{00000000-0005-0000-0000-000005000000}"/>
    <cellStyle name="20% - Accent3 3" xfId="10" xr:uid="{00000000-0005-0000-0000-000006000000}"/>
    <cellStyle name="20% - Accent4 2" xfId="11" xr:uid="{00000000-0005-0000-0000-000007000000}"/>
    <cellStyle name="20% - Accent4 3" xfId="12" xr:uid="{00000000-0005-0000-0000-000008000000}"/>
    <cellStyle name="20% - Accent5 2" xfId="13" xr:uid="{00000000-0005-0000-0000-000009000000}"/>
    <cellStyle name="20% - Accent5 3" xfId="14" xr:uid="{00000000-0005-0000-0000-00000A000000}"/>
    <cellStyle name="20% - Accent6 2" xfId="15" xr:uid="{00000000-0005-0000-0000-00000B000000}"/>
    <cellStyle name="20% - Accent6 3" xfId="16" xr:uid="{00000000-0005-0000-0000-00000C000000}"/>
    <cellStyle name="40% - Accent1 2" xfId="17" xr:uid="{00000000-0005-0000-0000-00000D000000}"/>
    <cellStyle name="40% - Accent1 3" xfId="18" xr:uid="{00000000-0005-0000-0000-00000E000000}"/>
    <cellStyle name="40% - Accent2 2" xfId="19" xr:uid="{00000000-0005-0000-0000-00000F000000}"/>
    <cellStyle name="40% - Accent2 3" xfId="20" xr:uid="{00000000-0005-0000-0000-000010000000}"/>
    <cellStyle name="40% - Accent3 2" xfId="21" xr:uid="{00000000-0005-0000-0000-000011000000}"/>
    <cellStyle name="40% - Accent3 3" xfId="22" xr:uid="{00000000-0005-0000-0000-000012000000}"/>
    <cellStyle name="40% - Accent4 2" xfId="23" xr:uid="{00000000-0005-0000-0000-000013000000}"/>
    <cellStyle name="40% - Accent4 3" xfId="24" xr:uid="{00000000-0005-0000-0000-000014000000}"/>
    <cellStyle name="40% - Accent5 2" xfId="25" xr:uid="{00000000-0005-0000-0000-000015000000}"/>
    <cellStyle name="40% - Accent5 3" xfId="26" xr:uid="{00000000-0005-0000-0000-000016000000}"/>
    <cellStyle name="40% - Accent6 2" xfId="27" xr:uid="{00000000-0005-0000-0000-000017000000}"/>
    <cellStyle name="40% - Accent6 3" xfId="28" xr:uid="{00000000-0005-0000-0000-000018000000}"/>
    <cellStyle name="60% - Accent1 2" xfId="29" xr:uid="{00000000-0005-0000-0000-000019000000}"/>
    <cellStyle name="60% - Accent1 3" xfId="30" xr:uid="{00000000-0005-0000-0000-00001A000000}"/>
    <cellStyle name="60% - Accent2 2" xfId="31" xr:uid="{00000000-0005-0000-0000-00001B000000}"/>
    <cellStyle name="60% - Accent2 3" xfId="32" xr:uid="{00000000-0005-0000-0000-00001C000000}"/>
    <cellStyle name="60% - Accent3 2" xfId="33" xr:uid="{00000000-0005-0000-0000-00001D000000}"/>
    <cellStyle name="60% - Accent3 3" xfId="34" xr:uid="{00000000-0005-0000-0000-00001E000000}"/>
    <cellStyle name="60% - Accent4 2" xfId="35" xr:uid="{00000000-0005-0000-0000-00001F000000}"/>
    <cellStyle name="60% - Accent4 3" xfId="36" xr:uid="{00000000-0005-0000-0000-000020000000}"/>
    <cellStyle name="60% - Accent5 2" xfId="37" xr:uid="{00000000-0005-0000-0000-000021000000}"/>
    <cellStyle name="60% - Accent5 3" xfId="38" xr:uid="{00000000-0005-0000-0000-000022000000}"/>
    <cellStyle name="60% - Accent6 2" xfId="39" xr:uid="{00000000-0005-0000-0000-000023000000}"/>
    <cellStyle name="60% - Accent6 3" xfId="40" xr:uid="{00000000-0005-0000-0000-000024000000}"/>
    <cellStyle name="Accent1 2" xfId="41" xr:uid="{00000000-0005-0000-0000-000025000000}"/>
    <cellStyle name="Accent1 3" xfId="42" xr:uid="{00000000-0005-0000-0000-000026000000}"/>
    <cellStyle name="Accent2 2" xfId="43" xr:uid="{00000000-0005-0000-0000-000027000000}"/>
    <cellStyle name="Accent2 3" xfId="44" xr:uid="{00000000-0005-0000-0000-000028000000}"/>
    <cellStyle name="Accent3 2" xfId="45" xr:uid="{00000000-0005-0000-0000-000029000000}"/>
    <cellStyle name="Accent3 3" xfId="46" xr:uid="{00000000-0005-0000-0000-00002A000000}"/>
    <cellStyle name="Accent4 2" xfId="47" xr:uid="{00000000-0005-0000-0000-00002B000000}"/>
    <cellStyle name="Accent4 3" xfId="48" xr:uid="{00000000-0005-0000-0000-00002C000000}"/>
    <cellStyle name="Accent5 2" xfId="49" xr:uid="{00000000-0005-0000-0000-00002D000000}"/>
    <cellStyle name="Accent5 3" xfId="50" xr:uid="{00000000-0005-0000-0000-00002E000000}"/>
    <cellStyle name="Accent6 2" xfId="51" xr:uid="{00000000-0005-0000-0000-00002F000000}"/>
    <cellStyle name="Accent6 3" xfId="52" xr:uid="{00000000-0005-0000-0000-000030000000}"/>
    <cellStyle name="Bad 2" xfId="53" xr:uid="{00000000-0005-0000-0000-000031000000}"/>
    <cellStyle name="Bad 3" xfId="54" xr:uid="{00000000-0005-0000-0000-000032000000}"/>
    <cellStyle name="Calculation 2" xfId="55" xr:uid="{00000000-0005-0000-0000-000033000000}"/>
    <cellStyle name="Calculation 3" xfId="56" xr:uid="{00000000-0005-0000-0000-000034000000}"/>
    <cellStyle name="ChartingText" xfId="57" xr:uid="{00000000-0005-0000-0000-000035000000}"/>
    <cellStyle name="Check Cell 2" xfId="58" xr:uid="{00000000-0005-0000-0000-000036000000}"/>
    <cellStyle name="Check Cell 3" xfId="59" xr:uid="{00000000-0005-0000-0000-000037000000}"/>
    <cellStyle name="ColHeading" xfId="60" xr:uid="{00000000-0005-0000-0000-000038000000}"/>
    <cellStyle name="ColumnHeaderNormal" xfId="61" xr:uid="{00000000-0005-0000-0000-000039000000}"/>
    <cellStyle name="ColumnHeaderNormal 2" xfId="62" xr:uid="{00000000-0005-0000-0000-00003A000000}"/>
    <cellStyle name="ColumnHeaderNormal 3" xfId="63" xr:uid="{00000000-0005-0000-0000-00003B000000}"/>
    <cellStyle name="Comma" xfId="303" builtinId="3"/>
    <cellStyle name="Comma 2" xfId="64" xr:uid="{00000000-0005-0000-0000-00003D000000}"/>
    <cellStyle name="Comma 3" xfId="65" xr:uid="{00000000-0005-0000-0000-00003E000000}"/>
    <cellStyle name="Comma 4" xfId="66" xr:uid="{00000000-0005-0000-0000-00003F000000}"/>
    <cellStyle name="Comma 5" xfId="67" xr:uid="{00000000-0005-0000-0000-000040000000}"/>
    <cellStyle name="Comma 5 2" xfId="68" xr:uid="{00000000-0005-0000-0000-000041000000}"/>
    <cellStyle name="Comma 6" xfId="69" xr:uid="{00000000-0005-0000-0000-000042000000}"/>
    <cellStyle name="Comma 7" xfId="70" xr:uid="{00000000-0005-0000-0000-000043000000}"/>
    <cellStyle name="Comma 8" xfId="71" xr:uid="{00000000-0005-0000-0000-000044000000}"/>
    <cellStyle name="Comma 9" xfId="72" xr:uid="{00000000-0005-0000-0000-000045000000}"/>
    <cellStyle name="Company" xfId="73" xr:uid="{00000000-0005-0000-0000-000046000000}"/>
    <cellStyle name="CurRatio" xfId="74" xr:uid="{00000000-0005-0000-0000-000047000000}"/>
    <cellStyle name="Currency" xfId="304" builtinId="4"/>
    <cellStyle name="Currency 2" xfId="75" xr:uid="{00000000-0005-0000-0000-000049000000}"/>
    <cellStyle name="Currency 3" xfId="76" xr:uid="{00000000-0005-0000-0000-00004A000000}"/>
    <cellStyle name="Currency 4" xfId="77" xr:uid="{00000000-0005-0000-0000-00004B000000}"/>
    <cellStyle name="Currency 5" xfId="78" xr:uid="{00000000-0005-0000-0000-00004C000000}"/>
    <cellStyle name="Currency 5 2" xfId="79" xr:uid="{00000000-0005-0000-0000-00004D000000}"/>
    <cellStyle name="Currency 6" xfId="80" xr:uid="{00000000-0005-0000-0000-00004E000000}"/>
    <cellStyle name="Explanatory Text 2" xfId="81" xr:uid="{00000000-0005-0000-0000-00004F000000}"/>
    <cellStyle name="Explanatory Text 3" xfId="82" xr:uid="{00000000-0005-0000-0000-000050000000}"/>
    <cellStyle name="Followed Hyperlink" xfId="307" builtinId="9" hidden="1"/>
    <cellStyle name="Followed Hyperlink" xfId="309" builtinId="9" hidden="1"/>
    <cellStyle name="Good 2" xfId="83" xr:uid="{00000000-0005-0000-0000-000053000000}"/>
    <cellStyle name="Good 3" xfId="84" xr:uid="{00000000-0005-0000-0000-000054000000}"/>
    <cellStyle name="Heading 1 2" xfId="85" xr:uid="{00000000-0005-0000-0000-000055000000}"/>
    <cellStyle name="Heading 1 3" xfId="86" xr:uid="{00000000-0005-0000-0000-000056000000}"/>
    <cellStyle name="Heading 2 2" xfId="87" xr:uid="{00000000-0005-0000-0000-000057000000}"/>
    <cellStyle name="Heading 2 3" xfId="88" xr:uid="{00000000-0005-0000-0000-000058000000}"/>
    <cellStyle name="Heading 3 2" xfId="89" xr:uid="{00000000-0005-0000-0000-000059000000}"/>
    <cellStyle name="Heading 3 3" xfId="90" xr:uid="{00000000-0005-0000-0000-00005A000000}"/>
    <cellStyle name="Heading 4 2" xfId="91" xr:uid="{00000000-0005-0000-0000-00005B000000}"/>
    <cellStyle name="Heading 4 3" xfId="92" xr:uid="{00000000-0005-0000-0000-00005C000000}"/>
    <cellStyle name="Hyperlink" xfId="306" builtinId="8" hidden="1"/>
    <cellStyle name="Hyperlink" xfId="308" builtinId="8" hidden="1"/>
    <cellStyle name="Input 2" xfId="93" xr:uid="{00000000-0005-0000-0000-00005F000000}"/>
    <cellStyle name="Input 3" xfId="94" xr:uid="{00000000-0005-0000-0000-000060000000}"/>
    <cellStyle name="Integer" xfId="95" xr:uid="{00000000-0005-0000-0000-000061000000}"/>
    <cellStyle name="Invisible" xfId="96" xr:uid="{00000000-0005-0000-0000-000062000000}"/>
    <cellStyle name="Invisible 2" xfId="97" xr:uid="{00000000-0005-0000-0000-000063000000}"/>
    <cellStyle name="Item" xfId="98" xr:uid="{00000000-0005-0000-0000-000064000000}"/>
    <cellStyle name="ItemTypeClass" xfId="99" xr:uid="{00000000-0005-0000-0000-000065000000}"/>
    <cellStyle name="Linked Cell 2" xfId="100" xr:uid="{00000000-0005-0000-0000-000066000000}"/>
    <cellStyle name="Linked Cell 3" xfId="101" xr:uid="{00000000-0005-0000-0000-000067000000}"/>
    <cellStyle name="Neutral 2" xfId="102" xr:uid="{00000000-0005-0000-0000-000068000000}"/>
    <cellStyle name="Neutral 3" xfId="103" xr:uid="{00000000-0005-0000-0000-000069000000}"/>
    <cellStyle name="NewColumnHeaderNormal" xfId="104" xr:uid="{00000000-0005-0000-0000-00006A000000}"/>
    <cellStyle name="NewSectionHeaderNormal" xfId="105" xr:uid="{00000000-0005-0000-0000-00006B000000}"/>
    <cellStyle name="NewTitleNormal" xfId="106" xr:uid="{00000000-0005-0000-0000-00006C000000}"/>
    <cellStyle name="Normal" xfId="0" builtinId="0" customBuiltin="1"/>
    <cellStyle name="Normal - Style1" xfId="107" xr:uid="{00000000-0005-0000-0000-00006E000000}"/>
    <cellStyle name="Normal 10" xfId="108" xr:uid="{00000000-0005-0000-0000-00006F000000}"/>
    <cellStyle name="Normal 11" xfId="109" xr:uid="{00000000-0005-0000-0000-000070000000}"/>
    <cellStyle name="Normal 12" xfId="110" xr:uid="{00000000-0005-0000-0000-000071000000}"/>
    <cellStyle name="Normal 13" xfId="111" xr:uid="{00000000-0005-0000-0000-000072000000}"/>
    <cellStyle name="Normal 14" xfId="112" xr:uid="{00000000-0005-0000-0000-000073000000}"/>
    <cellStyle name="Normal 15" xfId="113" xr:uid="{00000000-0005-0000-0000-000074000000}"/>
    <cellStyle name="Normal 16" xfId="302" xr:uid="{00000000-0005-0000-0000-000075000000}"/>
    <cellStyle name="Normal 2" xfId="114" xr:uid="{00000000-0005-0000-0000-000076000000}"/>
    <cellStyle name="Normal 2 2" xfId="3" xr:uid="{00000000-0005-0000-0000-000077000000}"/>
    <cellStyle name="Normal 2 3" xfId="115" xr:uid="{00000000-0005-0000-0000-000078000000}"/>
    <cellStyle name="Normal 3" xfId="116" xr:uid="{00000000-0005-0000-0000-000079000000}"/>
    <cellStyle name="Normal 3 2" xfId="1" xr:uid="{00000000-0005-0000-0000-00007A000000}"/>
    <cellStyle name="Normal 4" xfId="117" xr:uid="{00000000-0005-0000-0000-00007B000000}"/>
    <cellStyle name="Normal 5" xfId="118" xr:uid="{00000000-0005-0000-0000-00007C000000}"/>
    <cellStyle name="Normal 6" xfId="119" xr:uid="{00000000-0005-0000-0000-00007D000000}"/>
    <cellStyle name="Normal 6 2" xfId="120" xr:uid="{00000000-0005-0000-0000-00007E000000}"/>
    <cellStyle name="Normal 7" xfId="2" xr:uid="{00000000-0005-0000-0000-00007F000000}"/>
    <cellStyle name="Normal 8" xfId="121" xr:uid="{00000000-0005-0000-0000-000080000000}"/>
    <cellStyle name="Normal 9" xfId="122" xr:uid="{00000000-0005-0000-0000-000081000000}"/>
    <cellStyle name="Note 2" xfId="123" xr:uid="{00000000-0005-0000-0000-000082000000}"/>
    <cellStyle name="Note 3" xfId="124" xr:uid="{00000000-0005-0000-0000-000083000000}"/>
    <cellStyle name="Output 2" xfId="125" xr:uid="{00000000-0005-0000-0000-000084000000}"/>
    <cellStyle name="Output 3" xfId="126" xr:uid="{00000000-0005-0000-0000-000085000000}"/>
    <cellStyle name="Percent" xfId="305" builtinId="5"/>
    <cellStyle name="Percent (0)" xfId="127" xr:uid="{00000000-0005-0000-0000-000087000000}"/>
    <cellStyle name="Percent 0.0" xfId="128" xr:uid="{00000000-0005-0000-0000-000088000000}"/>
    <cellStyle name="Percent 2" xfId="129" xr:uid="{00000000-0005-0000-0000-000089000000}"/>
    <cellStyle name="Percent 3" xfId="130" xr:uid="{00000000-0005-0000-0000-00008A000000}"/>
    <cellStyle name="Percent 3 2" xfId="131" xr:uid="{00000000-0005-0000-0000-00008B000000}"/>
    <cellStyle name="Percent 4" xfId="132" xr:uid="{00000000-0005-0000-0000-00008C000000}"/>
    <cellStyle name="Percent 5" xfId="133" xr:uid="{00000000-0005-0000-0000-00008D000000}"/>
    <cellStyle name="Percent 6" xfId="134" xr:uid="{00000000-0005-0000-0000-00008E000000}"/>
    <cellStyle name="Percent 7" xfId="135" xr:uid="{00000000-0005-0000-0000-00008F000000}"/>
    <cellStyle name="Percent 8" xfId="136" xr:uid="{00000000-0005-0000-0000-000090000000}"/>
    <cellStyle name="PercentChange" xfId="137" xr:uid="{00000000-0005-0000-0000-000091000000}"/>
    <cellStyle name="RatioX" xfId="138" xr:uid="{00000000-0005-0000-0000-000092000000}"/>
    <cellStyle name="Red (#,###0)" xfId="139" xr:uid="{00000000-0005-0000-0000-000093000000}"/>
    <cellStyle name="SectionHeaderNormal" xfId="140" xr:uid="{00000000-0005-0000-0000-000094000000}"/>
    <cellStyle name="SectionHeading" xfId="141" xr:uid="{00000000-0005-0000-0000-000095000000}"/>
    <cellStyle name="Style 21" xfId="142" xr:uid="{00000000-0005-0000-0000-000096000000}"/>
    <cellStyle name="Style 21 10" xfId="143" xr:uid="{00000000-0005-0000-0000-000097000000}"/>
    <cellStyle name="Style 21 11" xfId="144" xr:uid="{00000000-0005-0000-0000-000098000000}"/>
    <cellStyle name="Style 21 2" xfId="145" xr:uid="{00000000-0005-0000-0000-000099000000}"/>
    <cellStyle name="Style 21 2 2" xfId="146" xr:uid="{00000000-0005-0000-0000-00009A000000}"/>
    <cellStyle name="Style 21 3" xfId="147" xr:uid="{00000000-0005-0000-0000-00009B000000}"/>
    <cellStyle name="Style 21 4" xfId="148" xr:uid="{00000000-0005-0000-0000-00009C000000}"/>
    <cellStyle name="Style 21 5" xfId="149" xr:uid="{00000000-0005-0000-0000-00009D000000}"/>
    <cellStyle name="Style 21 6" xfId="150" xr:uid="{00000000-0005-0000-0000-00009E000000}"/>
    <cellStyle name="Style 21 7" xfId="151" xr:uid="{00000000-0005-0000-0000-00009F000000}"/>
    <cellStyle name="Style 21 8" xfId="152" xr:uid="{00000000-0005-0000-0000-0000A0000000}"/>
    <cellStyle name="Style 21 9" xfId="153" xr:uid="{00000000-0005-0000-0000-0000A1000000}"/>
    <cellStyle name="Style 22" xfId="154" xr:uid="{00000000-0005-0000-0000-0000A2000000}"/>
    <cellStyle name="Style 22 2" xfId="155" xr:uid="{00000000-0005-0000-0000-0000A3000000}"/>
    <cellStyle name="Style 22 2 2" xfId="156" xr:uid="{00000000-0005-0000-0000-0000A4000000}"/>
    <cellStyle name="Style 22 3" xfId="157" xr:uid="{00000000-0005-0000-0000-0000A5000000}"/>
    <cellStyle name="Style 22 4" xfId="158" xr:uid="{00000000-0005-0000-0000-0000A6000000}"/>
    <cellStyle name="Style 23" xfId="159" xr:uid="{00000000-0005-0000-0000-0000A7000000}"/>
    <cellStyle name="Style 23 10" xfId="160" xr:uid="{00000000-0005-0000-0000-0000A8000000}"/>
    <cellStyle name="Style 23 2" xfId="161" xr:uid="{00000000-0005-0000-0000-0000A9000000}"/>
    <cellStyle name="Style 23 3" xfId="162" xr:uid="{00000000-0005-0000-0000-0000AA000000}"/>
    <cellStyle name="Style 23 4" xfId="163" xr:uid="{00000000-0005-0000-0000-0000AB000000}"/>
    <cellStyle name="Style 23 5" xfId="164" xr:uid="{00000000-0005-0000-0000-0000AC000000}"/>
    <cellStyle name="Style 23 6" xfId="165" xr:uid="{00000000-0005-0000-0000-0000AD000000}"/>
    <cellStyle name="Style 23 7" xfId="166" xr:uid="{00000000-0005-0000-0000-0000AE000000}"/>
    <cellStyle name="Style 23 8" xfId="167" xr:uid="{00000000-0005-0000-0000-0000AF000000}"/>
    <cellStyle name="Style 23 9" xfId="168" xr:uid="{00000000-0005-0000-0000-0000B0000000}"/>
    <cellStyle name="Style 24" xfId="169" xr:uid="{00000000-0005-0000-0000-0000B1000000}"/>
    <cellStyle name="Style 24 2" xfId="170" xr:uid="{00000000-0005-0000-0000-0000B2000000}"/>
    <cellStyle name="Style 24 3" xfId="171" xr:uid="{00000000-0005-0000-0000-0000B3000000}"/>
    <cellStyle name="Style 24 4" xfId="172" xr:uid="{00000000-0005-0000-0000-0000B4000000}"/>
    <cellStyle name="Style 25" xfId="173" xr:uid="{00000000-0005-0000-0000-0000B5000000}"/>
    <cellStyle name="Style 25 2" xfId="174" xr:uid="{00000000-0005-0000-0000-0000B6000000}"/>
    <cellStyle name="Style 25 3" xfId="175" xr:uid="{00000000-0005-0000-0000-0000B7000000}"/>
    <cellStyle name="Style 25 4" xfId="176" xr:uid="{00000000-0005-0000-0000-0000B8000000}"/>
    <cellStyle name="Style 26" xfId="177" xr:uid="{00000000-0005-0000-0000-0000B9000000}"/>
    <cellStyle name="Style 26 2" xfId="178" xr:uid="{00000000-0005-0000-0000-0000BA000000}"/>
    <cellStyle name="Style 26 3" xfId="179" xr:uid="{00000000-0005-0000-0000-0000BB000000}"/>
    <cellStyle name="Style 26 4" xfId="180" xr:uid="{00000000-0005-0000-0000-0000BC000000}"/>
    <cellStyle name="Style 27" xfId="181" xr:uid="{00000000-0005-0000-0000-0000BD000000}"/>
    <cellStyle name="Style 28" xfId="182" xr:uid="{00000000-0005-0000-0000-0000BE000000}"/>
    <cellStyle name="Style 28 2" xfId="183" xr:uid="{00000000-0005-0000-0000-0000BF000000}"/>
    <cellStyle name="Style 28 3" xfId="184" xr:uid="{00000000-0005-0000-0000-0000C0000000}"/>
    <cellStyle name="Style 28 4" xfId="185" xr:uid="{00000000-0005-0000-0000-0000C1000000}"/>
    <cellStyle name="Style 28 5" xfId="186" xr:uid="{00000000-0005-0000-0000-0000C2000000}"/>
    <cellStyle name="Style 28 6" xfId="187" xr:uid="{00000000-0005-0000-0000-0000C3000000}"/>
    <cellStyle name="Style 28 7" xfId="188" xr:uid="{00000000-0005-0000-0000-0000C4000000}"/>
    <cellStyle name="Style 28 8" xfId="189" xr:uid="{00000000-0005-0000-0000-0000C5000000}"/>
    <cellStyle name="Style 29" xfId="190" xr:uid="{00000000-0005-0000-0000-0000C6000000}"/>
    <cellStyle name="Style 30" xfId="191" xr:uid="{00000000-0005-0000-0000-0000C7000000}"/>
    <cellStyle name="Style 30 2" xfId="192" xr:uid="{00000000-0005-0000-0000-0000C8000000}"/>
    <cellStyle name="Style 30 3" xfId="193" xr:uid="{00000000-0005-0000-0000-0000C9000000}"/>
    <cellStyle name="Style 31" xfId="194" xr:uid="{00000000-0005-0000-0000-0000CA000000}"/>
    <cellStyle name="Style 31 2" xfId="195" xr:uid="{00000000-0005-0000-0000-0000CB000000}"/>
    <cellStyle name="Style 31 3" xfId="196" xr:uid="{00000000-0005-0000-0000-0000CC000000}"/>
    <cellStyle name="Style 32" xfId="197" xr:uid="{00000000-0005-0000-0000-0000CD000000}"/>
    <cellStyle name="Style 32 2" xfId="198" xr:uid="{00000000-0005-0000-0000-0000CE000000}"/>
    <cellStyle name="Style 32 3" xfId="199" xr:uid="{00000000-0005-0000-0000-0000CF000000}"/>
    <cellStyle name="Style 33" xfId="200" xr:uid="{00000000-0005-0000-0000-0000D0000000}"/>
    <cellStyle name="Style 33 2" xfId="201" xr:uid="{00000000-0005-0000-0000-0000D1000000}"/>
    <cellStyle name="Style 33 3" xfId="202" xr:uid="{00000000-0005-0000-0000-0000D2000000}"/>
    <cellStyle name="Style 33 4" xfId="203" xr:uid="{00000000-0005-0000-0000-0000D3000000}"/>
    <cellStyle name="Style 33 5" xfId="204" xr:uid="{00000000-0005-0000-0000-0000D4000000}"/>
    <cellStyle name="Style 33 6" xfId="205" xr:uid="{00000000-0005-0000-0000-0000D5000000}"/>
    <cellStyle name="Style 34" xfId="206" xr:uid="{00000000-0005-0000-0000-0000D6000000}"/>
    <cellStyle name="Style 34 2" xfId="207" xr:uid="{00000000-0005-0000-0000-0000D7000000}"/>
    <cellStyle name="Style 34 3" xfId="208" xr:uid="{00000000-0005-0000-0000-0000D8000000}"/>
    <cellStyle name="Style 34 4" xfId="209" xr:uid="{00000000-0005-0000-0000-0000D9000000}"/>
    <cellStyle name="Style 35" xfId="210" xr:uid="{00000000-0005-0000-0000-0000DA000000}"/>
    <cellStyle name="Style 35 2" xfId="211" xr:uid="{00000000-0005-0000-0000-0000DB000000}"/>
    <cellStyle name="Style 35 3" xfId="212" xr:uid="{00000000-0005-0000-0000-0000DC000000}"/>
    <cellStyle name="Style 35 4" xfId="213" xr:uid="{00000000-0005-0000-0000-0000DD000000}"/>
    <cellStyle name="Style 36" xfId="214" xr:uid="{00000000-0005-0000-0000-0000DE000000}"/>
    <cellStyle name="Style 36 2" xfId="215" xr:uid="{00000000-0005-0000-0000-0000DF000000}"/>
    <cellStyle name="Style 36 3" xfId="216" xr:uid="{00000000-0005-0000-0000-0000E0000000}"/>
    <cellStyle name="Style 36 4" xfId="217" xr:uid="{00000000-0005-0000-0000-0000E1000000}"/>
    <cellStyle name="Style 37" xfId="218" xr:uid="{00000000-0005-0000-0000-0000E2000000}"/>
    <cellStyle name="Style 37 2" xfId="219" xr:uid="{00000000-0005-0000-0000-0000E3000000}"/>
    <cellStyle name="Style 37 3" xfId="220" xr:uid="{00000000-0005-0000-0000-0000E4000000}"/>
    <cellStyle name="Style 38" xfId="221" xr:uid="{00000000-0005-0000-0000-0000E5000000}"/>
    <cellStyle name="Style 38 2" xfId="222" xr:uid="{00000000-0005-0000-0000-0000E6000000}"/>
    <cellStyle name="Style 38 3" xfId="223" xr:uid="{00000000-0005-0000-0000-0000E7000000}"/>
    <cellStyle name="Style 38 4" xfId="224" xr:uid="{00000000-0005-0000-0000-0000E8000000}"/>
    <cellStyle name="Style 39" xfId="225" xr:uid="{00000000-0005-0000-0000-0000E9000000}"/>
    <cellStyle name="Style 40" xfId="226" xr:uid="{00000000-0005-0000-0000-0000EA000000}"/>
    <cellStyle name="Style 40 2" xfId="227" xr:uid="{00000000-0005-0000-0000-0000EB000000}"/>
    <cellStyle name="Style 40 3" xfId="228" xr:uid="{00000000-0005-0000-0000-0000EC000000}"/>
    <cellStyle name="Style 40 4" xfId="229" xr:uid="{00000000-0005-0000-0000-0000ED000000}"/>
    <cellStyle name="Style 41" xfId="230" xr:uid="{00000000-0005-0000-0000-0000EE000000}"/>
    <cellStyle name="Style 42" xfId="231" xr:uid="{00000000-0005-0000-0000-0000EF000000}"/>
    <cellStyle name="Style 42 2" xfId="232" xr:uid="{00000000-0005-0000-0000-0000F0000000}"/>
    <cellStyle name="Style 42 3" xfId="233" xr:uid="{00000000-0005-0000-0000-0000F1000000}"/>
    <cellStyle name="Style 43" xfId="234" xr:uid="{00000000-0005-0000-0000-0000F2000000}"/>
    <cellStyle name="Style 43 2" xfId="235" xr:uid="{00000000-0005-0000-0000-0000F3000000}"/>
    <cellStyle name="Style 43 3" xfId="236" xr:uid="{00000000-0005-0000-0000-0000F4000000}"/>
    <cellStyle name="Style 44" xfId="237" xr:uid="{00000000-0005-0000-0000-0000F5000000}"/>
    <cellStyle name="Style 44 2" xfId="238" xr:uid="{00000000-0005-0000-0000-0000F6000000}"/>
    <cellStyle name="Style 44 3" xfId="239" xr:uid="{00000000-0005-0000-0000-0000F7000000}"/>
    <cellStyle name="Style 45" xfId="240" xr:uid="{00000000-0005-0000-0000-0000F8000000}"/>
    <cellStyle name="Style 46" xfId="241" xr:uid="{00000000-0005-0000-0000-0000F9000000}"/>
    <cellStyle name="Style 47" xfId="242" xr:uid="{00000000-0005-0000-0000-0000FA000000}"/>
    <cellStyle name="Style 48" xfId="243" xr:uid="{00000000-0005-0000-0000-0000FB000000}"/>
    <cellStyle name="Style 48 2" xfId="244" xr:uid="{00000000-0005-0000-0000-0000FC000000}"/>
    <cellStyle name="Style 48 3" xfId="245" xr:uid="{00000000-0005-0000-0000-0000FD000000}"/>
    <cellStyle name="Style 49" xfId="246" xr:uid="{00000000-0005-0000-0000-0000FE000000}"/>
    <cellStyle name="Style 50" xfId="247" xr:uid="{00000000-0005-0000-0000-0000FF000000}"/>
    <cellStyle name="Style 50 2" xfId="248" xr:uid="{00000000-0005-0000-0000-000000010000}"/>
    <cellStyle name="Style 51" xfId="249" xr:uid="{00000000-0005-0000-0000-000001010000}"/>
    <cellStyle name="Style 52" xfId="250" xr:uid="{00000000-0005-0000-0000-000002010000}"/>
    <cellStyle name="Style 53" xfId="251" xr:uid="{00000000-0005-0000-0000-000003010000}"/>
    <cellStyle name="Style 54" xfId="252" xr:uid="{00000000-0005-0000-0000-000004010000}"/>
    <cellStyle name="Style 55" xfId="253" xr:uid="{00000000-0005-0000-0000-000005010000}"/>
    <cellStyle name="Style 56" xfId="254" xr:uid="{00000000-0005-0000-0000-000006010000}"/>
    <cellStyle name="Style 57" xfId="255" xr:uid="{00000000-0005-0000-0000-000007010000}"/>
    <cellStyle name="Style 58" xfId="256" xr:uid="{00000000-0005-0000-0000-000008010000}"/>
    <cellStyle name="Style 59" xfId="257" xr:uid="{00000000-0005-0000-0000-000009010000}"/>
    <cellStyle name="Style 59 2" xfId="258" xr:uid="{00000000-0005-0000-0000-00000A010000}"/>
    <cellStyle name="Style 60" xfId="259" xr:uid="{00000000-0005-0000-0000-00000B010000}"/>
    <cellStyle name="Style 61" xfId="260" xr:uid="{00000000-0005-0000-0000-00000C010000}"/>
    <cellStyle name="Style 62" xfId="261" xr:uid="{00000000-0005-0000-0000-00000D010000}"/>
    <cellStyle name="Style 63" xfId="262" xr:uid="{00000000-0005-0000-0000-00000E010000}"/>
    <cellStyle name="Style 64" xfId="263" xr:uid="{00000000-0005-0000-0000-00000F010000}"/>
    <cellStyle name="Style 65" xfId="264" xr:uid="{00000000-0005-0000-0000-000010010000}"/>
    <cellStyle name="Style 66" xfId="265" xr:uid="{00000000-0005-0000-0000-000011010000}"/>
    <cellStyle name="Style 67" xfId="266" xr:uid="{00000000-0005-0000-0000-000012010000}"/>
    <cellStyle name="Style 68" xfId="267" xr:uid="{00000000-0005-0000-0000-000013010000}"/>
    <cellStyle name="Style 69" xfId="268" xr:uid="{00000000-0005-0000-0000-000014010000}"/>
    <cellStyle name="Style 70" xfId="269" xr:uid="{00000000-0005-0000-0000-000015010000}"/>
    <cellStyle name="Style 71" xfId="270" xr:uid="{00000000-0005-0000-0000-000016010000}"/>
    <cellStyle name="Style 72" xfId="271" xr:uid="{00000000-0005-0000-0000-000017010000}"/>
    <cellStyle name="Style 73" xfId="272" xr:uid="{00000000-0005-0000-0000-000018010000}"/>
    <cellStyle name="Style 74" xfId="273" xr:uid="{00000000-0005-0000-0000-000019010000}"/>
    <cellStyle name="Style 75" xfId="274" xr:uid="{00000000-0005-0000-0000-00001A010000}"/>
    <cellStyle name="Style 75 2" xfId="275" xr:uid="{00000000-0005-0000-0000-00001B010000}"/>
    <cellStyle name="Style 76" xfId="276" xr:uid="{00000000-0005-0000-0000-00001C010000}"/>
    <cellStyle name="Style 77" xfId="277" xr:uid="{00000000-0005-0000-0000-00001D010000}"/>
    <cellStyle name="Style 77 2" xfId="278" xr:uid="{00000000-0005-0000-0000-00001E010000}"/>
    <cellStyle name="Style 78" xfId="279" xr:uid="{00000000-0005-0000-0000-00001F010000}"/>
    <cellStyle name="Style 79" xfId="280" xr:uid="{00000000-0005-0000-0000-000020010000}"/>
    <cellStyle name="Style 80" xfId="281" xr:uid="{00000000-0005-0000-0000-000021010000}"/>
    <cellStyle name="Style 83" xfId="282" xr:uid="{00000000-0005-0000-0000-000022010000}"/>
    <cellStyle name="Style 93" xfId="283" xr:uid="{00000000-0005-0000-0000-000023010000}"/>
    <cellStyle name="STYLE1" xfId="284" xr:uid="{00000000-0005-0000-0000-000024010000}"/>
    <cellStyle name="STYLE2" xfId="285" xr:uid="{00000000-0005-0000-0000-000025010000}"/>
    <cellStyle name="SubScript" xfId="286" xr:uid="{00000000-0005-0000-0000-000026010000}"/>
    <cellStyle name="SuperScript" xfId="287" xr:uid="{00000000-0005-0000-0000-000027010000}"/>
    <cellStyle name="TextBold" xfId="288" xr:uid="{00000000-0005-0000-0000-000028010000}"/>
    <cellStyle name="TextItalic" xfId="289" xr:uid="{00000000-0005-0000-0000-000029010000}"/>
    <cellStyle name="TextNormal" xfId="290" xr:uid="{00000000-0005-0000-0000-00002A010000}"/>
    <cellStyle name="TextNormal 2" xfId="291" xr:uid="{00000000-0005-0000-0000-00002B010000}"/>
    <cellStyle name="TextNormal 3" xfId="292" xr:uid="{00000000-0005-0000-0000-00002C010000}"/>
    <cellStyle name="Tickmark" xfId="293" xr:uid="{00000000-0005-0000-0000-00002D010000}"/>
    <cellStyle name="Title 2" xfId="294" xr:uid="{00000000-0005-0000-0000-00002E010000}"/>
    <cellStyle name="Title 3" xfId="295" xr:uid="{00000000-0005-0000-0000-00002F010000}"/>
    <cellStyle name="TitleNormal" xfId="296" xr:uid="{00000000-0005-0000-0000-000030010000}"/>
    <cellStyle name="Titles" xfId="297" xr:uid="{00000000-0005-0000-0000-000031010000}"/>
    <cellStyle name="Total 2" xfId="298" xr:uid="{00000000-0005-0000-0000-000032010000}"/>
    <cellStyle name="Total 3" xfId="299" xr:uid="{00000000-0005-0000-0000-000033010000}"/>
    <cellStyle name="Warning Text 2" xfId="300" xr:uid="{00000000-0005-0000-0000-000034010000}"/>
    <cellStyle name="Warning Text 3" xfId="301" xr:uid="{00000000-0005-0000-0000-000035010000}"/>
  </cellStyles>
  <dxfs count="0"/>
  <tableStyles count="0" defaultTableStyle="TableStyleMedium9" defaultPivotStyle="PivotStyleLight16"/>
  <colors>
    <mruColors>
      <color rgb="FF003300"/>
      <color rgb="FF0000FF"/>
      <color rgb="FF3366CC"/>
      <color rgb="FFA50021"/>
      <color rgb="FF336699"/>
      <color rgb="FF009900"/>
      <color rgb="FF0066FF"/>
      <color rgb="FF0099CC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552"/>
  <sheetViews>
    <sheetView zoomScale="85" zoomScaleNormal="85" zoomScalePageLayoutView="85" workbookViewId="0">
      <pane xSplit="1" ySplit="2" topLeftCell="B3" activePane="bottomRight" state="frozen"/>
      <selection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9.109375" defaultRowHeight="13.2"/>
  <cols>
    <col min="1" max="1" width="35.33203125" style="240" customWidth="1"/>
    <col min="2" max="2" width="14.6640625" style="211" bestFit="1" customWidth="1"/>
    <col min="3" max="3" width="14.6640625" style="211" customWidth="1"/>
    <col min="4" max="4" width="11.33203125" style="242" customWidth="1"/>
    <col min="5" max="5" width="16.109375" style="242" customWidth="1"/>
    <col min="6" max="6" width="12.44140625" style="242" customWidth="1"/>
    <col min="7" max="7" width="14.109375" style="211" bestFit="1" customWidth="1"/>
    <col min="8" max="8" width="15.44140625" style="211" customWidth="1"/>
    <col min="9" max="9" width="16.44140625" style="211" bestFit="1" customWidth="1"/>
    <col min="10" max="10" width="14.77734375" style="211" customWidth="1"/>
    <col min="11" max="11" width="11.44140625" style="211" bestFit="1" customWidth="1"/>
    <col min="12" max="256" width="9.109375" style="211"/>
    <col min="257" max="257" width="35.33203125" style="211" customWidth="1"/>
    <col min="258" max="258" width="14.6640625" style="211" bestFit="1" customWidth="1"/>
    <col min="259" max="259" width="14.6640625" style="211" customWidth="1"/>
    <col min="260" max="260" width="11.33203125" style="211" customWidth="1"/>
    <col min="261" max="261" width="16.109375" style="211" customWidth="1"/>
    <col min="262" max="262" width="12.44140625" style="211" customWidth="1"/>
    <col min="263" max="263" width="14.109375" style="211" bestFit="1" customWidth="1"/>
    <col min="264" max="264" width="15.44140625" style="211" customWidth="1"/>
    <col min="265" max="265" width="16.44140625" style="211" bestFit="1" customWidth="1"/>
    <col min="266" max="266" width="14.77734375" style="211" customWidth="1"/>
    <col min="267" max="512" width="9.109375" style="211"/>
    <col min="513" max="513" width="35.33203125" style="211" customWidth="1"/>
    <col min="514" max="514" width="14.6640625" style="211" bestFit="1" customWidth="1"/>
    <col min="515" max="515" width="14.6640625" style="211" customWidth="1"/>
    <col min="516" max="516" width="11.33203125" style="211" customWidth="1"/>
    <col min="517" max="517" width="16.109375" style="211" customWidth="1"/>
    <col min="518" max="518" width="12.44140625" style="211" customWidth="1"/>
    <col min="519" max="519" width="14.109375" style="211" bestFit="1" customWidth="1"/>
    <col min="520" max="520" width="15.44140625" style="211" customWidth="1"/>
    <col min="521" max="521" width="16.44140625" style="211" bestFit="1" customWidth="1"/>
    <col min="522" max="522" width="14.77734375" style="211" customWidth="1"/>
    <col min="523" max="768" width="9.109375" style="211"/>
    <col min="769" max="769" width="35.33203125" style="211" customWidth="1"/>
    <col min="770" max="770" width="14.6640625" style="211" bestFit="1" customWidth="1"/>
    <col min="771" max="771" width="14.6640625" style="211" customWidth="1"/>
    <col min="772" max="772" width="11.33203125" style="211" customWidth="1"/>
    <col min="773" max="773" width="16.109375" style="211" customWidth="1"/>
    <col min="774" max="774" width="12.44140625" style="211" customWidth="1"/>
    <col min="775" max="775" width="14.109375" style="211" bestFit="1" customWidth="1"/>
    <col min="776" max="776" width="15.44140625" style="211" customWidth="1"/>
    <col min="777" max="777" width="16.44140625" style="211" bestFit="1" customWidth="1"/>
    <col min="778" max="778" width="14.77734375" style="211" customWidth="1"/>
    <col min="779" max="1024" width="9.109375" style="211"/>
    <col min="1025" max="1025" width="35.33203125" style="211" customWidth="1"/>
    <col min="1026" max="1026" width="14.6640625" style="211" bestFit="1" customWidth="1"/>
    <col min="1027" max="1027" width="14.6640625" style="211" customWidth="1"/>
    <col min="1028" max="1028" width="11.33203125" style="211" customWidth="1"/>
    <col min="1029" max="1029" width="16.109375" style="211" customWidth="1"/>
    <col min="1030" max="1030" width="12.44140625" style="211" customWidth="1"/>
    <col min="1031" max="1031" width="14.109375" style="211" bestFit="1" customWidth="1"/>
    <col min="1032" max="1032" width="15.44140625" style="211" customWidth="1"/>
    <col min="1033" max="1033" width="16.44140625" style="211" bestFit="1" customWidth="1"/>
    <col min="1034" max="1034" width="14.77734375" style="211" customWidth="1"/>
    <col min="1035" max="1280" width="9.109375" style="211"/>
    <col min="1281" max="1281" width="35.33203125" style="211" customWidth="1"/>
    <col min="1282" max="1282" width="14.6640625" style="211" bestFit="1" customWidth="1"/>
    <col min="1283" max="1283" width="14.6640625" style="211" customWidth="1"/>
    <col min="1284" max="1284" width="11.33203125" style="211" customWidth="1"/>
    <col min="1285" max="1285" width="16.109375" style="211" customWidth="1"/>
    <col min="1286" max="1286" width="12.44140625" style="211" customWidth="1"/>
    <col min="1287" max="1287" width="14.109375" style="211" bestFit="1" customWidth="1"/>
    <col min="1288" max="1288" width="15.44140625" style="211" customWidth="1"/>
    <col min="1289" max="1289" width="16.44140625" style="211" bestFit="1" customWidth="1"/>
    <col min="1290" max="1290" width="14.77734375" style="211" customWidth="1"/>
    <col min="1291" max="1536" width="9.109375" style="211"/>
    <col min="1537" max="1537" width="35.33203125" style="211" customWidth="1"/>
    <col min="1538" max="1538" width="14.6640625" style="211" bestFit="1" customWidth="1"/>
    <col min="1539" max="1539" width="14.6640625" style="211" customWidth="1"/>
    <col min="1540" max="1540" width="11.33203125" style="211" customWidth="1"/>
    <col min="1541" max="1541" width="16.109375" style="211" customWidth="1"/>
    <col min="1542" max="1542" width="12.44140625" style="211" customWidth="1"/>
    <col min="1543" max="1543" width="14.109375" style="211" bestFit="1" customWidth="1"/>
    <col min="1544" max="1544" width="15.44140625" style="211" customWidth="1"/>
    <col min="1545" max="1545" width="16.44140625" style="211" bestFit="1" customWidth="1"/>
    <col min="1546" max="1546" width="14.77734375" style="211" customWidth="1"/>
    <col min="1547" max="1792" width="9.109375" style="211"/>
    <col min="1793" max="1793" width="35.33203125" style="211" customWidth="1"/>
    <col min="1794" max="1794" width="14.6640625" style="211" bestFit="1" customWidth="1"/>
    <col min="1795" max="1795" width="14.6640625" style="211" customWidth="1"/>
    <col min="1796" max="1796" width="11.33203125" style="211" customWidth="1"/>
    <col min="1797" max="1797" width="16.109375" style="211" customWidth="1"/>
    <col min="1798" max="1798" width="12.44140625" style="211" customWidth="1"/>
    <col min="1799" max="1799" width="14.109375" style="211" bestFit="1" customWidth="1"/>
    <col min="1800" max="1800" width="15.44140625" style="211" customWidth="1"/>
    <col min="1801" max="1801" width="16.44140625" style="211" bestFit="1" customWidth="1"/>
    <col min="1802" max="1802" width="14.77734375" style="211" customWidth="1"/>
    <col min="1803" max="2048" width="9.109375" style="211"/>
    <col min="2049" max="2049" width="35.33203125" style="211" customWidth="1"/>
    <col min="2050" max="2050" width="14.6640625" style="211" bestFit="1" customWidth="1"/>
    <col min="2051" max="2051" width="14.6640625" style="211" customWidth="1"/>
    <col min="2052" max="2052" width="11.33203125" style="211" customWidth="1"/>
    <col min="2053" max="2053" width="16.109375" style="211" customWidth="1"/>
    <col min="2054" max="2054" width="12.44140625" style="211" customWidth="1"/>
    <col min="2055" max="2055" width="14.109375" style="211" bestFit="1" customWidth="1"/>
    <col min="2056" max="2056" width="15.44140625" style="211" customWidth="1"/>
    <col min="2057" max="2057" width="16.44140625" style="211" bestFit="1" customWidth="1"/>
    <col min="2058" max="2058" width="14.77734375" style="211" customWidth="1"/>
    <col min="2059" max="2304" width="9.109375" style="211"/>
    <col min="2305" max="2305" width="35.33203125" style="211" customWidth="1"/>
    <col min="2306" max="2306" width="14.6640625" style="211" bestFit="1" customWidth="1"/>
    <col min="2307" max="2307" width="14.6640625" style="211" customWidth="1"/>
    <col min="2308" max="2308" width="11.33203125" style="211" customWidth="1"/>
    <col min="2309" max="2309" width="16.109375" style="211" customWidth="1"/>
    <col min="2310" max="2310" width="12.44140625" style="211" customWidth="1"/>
    <col min="2311" max="2311" width="14.109375" style="211" bestFit="1" customWidth="1"/>
    <col min="2312" max="2312" width="15.44140625" style="211" customWidth="1"/>
    <col min="2313" max="2313" width="16.44140625" style="211" bestFit="1" customWidth="1"/>
    <col min="2314" max="2314" width="14.77734375" style="211" customWidth="1"/>
    <col min="2315" max="2560" width="9.109375" style="211"/>
    <col min="2561" max="2561" width="35.33203125" style="211" customWidth="1"/>
    <col min="2562" max="2562" width="14.6640625" style="211" bestFit="1" customWidth="1"/>
    <col min="2563" max="2563" width="14.6640625" style="211" customWidth="1"/>
    <col min="2564" max="2564" width="11.33203125" style="211" customWidth="1"/>
    <col min="2565" max="2565" width="16.109375" style="211" customWidth="1"/>
    <col min="2566" max="2566" width="12.44140625" style="211" customWidth="1"/>
    <col min="2567" max="2567" width="14.109375" style="211" bestFit="1" customWidth="1"/>
    <col min="2568" max="2568" width="15.44140625" style="211" customWidth="1"/>
    <col min="2569" max="2569" width="16.44140625" style="211" bestFit="1" customWidth="1"/>
    <col min="2570" max="2570" width="14.77734375" style="211" customWidth="1"/>
    <col min="2571" max="2816" width="9.109375" style="211"/>
    <col min="2817" max="2817" width="35.33203125" style="211" customWidth="1"/>
    <col min="2818" max="2818" width="14.6640625" style="211" bestFit="1" customWidth="1"/>
    <col min="2819" max="2819" width="14.6640625" style="211" customWidth="1"/>
    <col min="2820" max="2820" width="11.33203125" style="211" customWidth="1"/>
    <col min="2821" max="2821" width="16.109375" style="211" customWidth="1"/>
    <col min="2822" max="2822" width="12.44140625" style="211" customWidth="1"/>
    <col min="2823" max="2823" width="14.109375" style="211" bestFit="1" customWidth="1"/>
    <col min="2824" max="2824" width="15.44140625" style="211" customWidth="1"/>
    <col min="2825" max="2825" width="16.44140625" style="211" bestFit="1" customWidth="1"/>
    <col min="2826" max="2826" width="14.77734375" style="211" customWidth="1"/>
    <col min="2827" max="3072" width="9.109375" style="211"/>
    <col min="3073" max="3073" width="35.33203125" style="211" customWidth="1"/>
    <col min="3074" max="3074" width="14.6640625" style="211" bestFit="1" customWidth="1"/>
    <col min="3075" max="3075" width="14.6640625" style="211" customWidth="1"/>
    <col min="3076" max="3076" width="11.33203125" style="211" customWidth="1"/>
    <col min="3077" max="3077" width="16.109375" style="211" customWidth="1"/>
    <col min="3078" max="3078" width="12.44140625" style="211" customWidth="1"/>
    <col min="3079" max="3079" width="14.109375" style="211" bestFit="1" customWidth="1"/>
    <col min="3080" max="3080" width="15.44140625" style="211" customWidth="1"/>
    <col min="3081" max="3081" width="16.44140625" style="211" bestFit="1" customWidth="1"/>
    <col min="3082" max="3082" width="14.77734375" style="211" customWidth="1"/>
    <col min="3083" max="3328" width="9.109375" style="211"/>
    <col min="3329" max="3329" width="35.33203125" style="211" customWidth="1"/>
    <col min="3330" max="3330" width="14.6640625" style="211" bestFit="1" customWidth="1"/>
    <col min="3331" max="3331" width="14.6640625" style="211" customWidth="1"/>
    <col min="3332" max="3332" width="11.33203125" style="211" customWidth="1"/>
    <col min="3333" max="3333" width="16.109375" style="211" customWidth="1"/>
    <col min="3334" max="3334" width="12.44140625" style="211" customWidth="1"/>
    <col min="3335" max="3335" width="14.109375" style="211" bestFit="1" customWidth="1"/>
    <col min="3336" max="3336" width="15.44140625" style="211" customWidth="1"/>
    <col min="3337" max="3337" width="16.44140625" style="211" bestFit="1" customWidth="1"/>
    <col min="3338" max="3338" width="14.77734375" style="211" customWidth="1"/>
    <col min="3339" max="3584" width="9.109375" style="211"/>
    <col min="3585" max="3585" width="35.33203125" style="211" customWidth="1"/>
    <col min="3586" max="3586" width="14.6640625" style="211" bestFit="1" customWidth="1"/>
    <col min="3587" max="3587" width="14.6640625" style="211" customWidth="1"/>
    <col min="3588" max="3588" width="11.33203125" style="211" customWidth="1"/>
    <col min="3589" max="3589" width="16.109375" style="211" customWidth="1"/>
    <col min="3590" max="3590" width="12.44140625" style="211" customWidth="1"/>
    <col min="3591" max="3591" width="14.109375" style="211" bestFit="1" customWidth="1"/>
    <col min="3592" max="3592" width="15.44140625" style="211" customWidth="1"/>
    <col min="3593" max="3593" width="16.44140625" style="211" bestFit="1" customWidth="1"/>
    <col min="3594" max="3594" width="14.77734375" style="211" customWidth="1"/>
    <col min="3595" max="3840" width="9.109375" style="211"/>
    <col min="3841" max="3841" width="35.33203125" style="211" customWidth="1"/>
    <col min="3842" max="3842" width="14.6640625" style="211" bestFit="1" customWidth="1"/>
    <col min="3843" max="3843" width="14.6640625" style="211" customWidth="1"/>
    <col min="3844" max="3844" width="11.33203125" style="211" customWidth="1"/>
    <col min="3845" max="3845" width="16.109375" style="211" customWidth="1"/>
    <col min="3846" max="3846" width="12.44140625" style="211" customWidth="1"/>
    <col min="3847" max="3847" width="14.109375" style="211" bestFit="1" customWidth="1"/>
    <col min="3848" max="3848" width="15.44140625" style="211" customWidth="1"/>
    <col min="3849" max="3849" width="16.44140625" style="211" bestFit="1" customWidth="1"/>
    <col min="3850" max="3850" width="14.77734375" style="211" customWidth="1"/>
    <col min="3851" max="4096" width="9.109375" style="211"/>
    <col min="4097" max="4097" width="35.33203125" style="211" customWidth="1"/>
    <col min="4098" max="4098" width="14.6640625" style="211" bestFit="1" customWidth="1"/>
    <col min="4099" max="4099" width="14.6640625" style="211" customWidth="1"/>
    <col min="4100" max="4100" width="11.33203125" style="211" customWidth="1"/>
    <col min="4101" max="4101" width="16.109375" style="211" customWidth="1"/>
    <col min="4102" max="4102" width="12.44140625" style="211" customWidth="1"/>
    <col min="4103" max="4103" width="14.109375" style="211" bestFit="1" customWidth="1"/>
    <col min="4104" max="4104" width="15.44140625" style="211" customWidth="1"/>
    <col min="4105" max="4105" width="16.44140625" style="211" bestFit="1" customWidth="1"/>
    <col min="4106" max="4106" width="14.77734375" style="211" customWidth="1"/>
    <col min="4107" max="4352" width="9.109375" style="211"/>
    <col min="4353" max="4353" width="35.33203125" style="211" customWidth="1"/>
    <col min="4354" max="4354" width="14.6640625" style="211" bestFit="1" customWidth="1"/>
    <col min="4355" max="4355" width="14.6640625" style="211" customWidth="1"/>
    <col min="4356" max="4356" width="11.33203125" style="211" customWidth="1"/>
    <col min="4357" max="4357" width="16.109375" style="211" customWidth="1"/>
    <col min="4358" max="4358" width="12.44140625" style="211" customWidth="1"/>
    <col min="4359" max="4359" width="14.109375" style="211" bestFit="1" customWidth="1"/>
    <col min="4360" max="4360" width="15.44140625" style="211" customWidth="1"/>
    <col min="4361" max="4361" width="16.44140625" style="211" bestFit="1" customWidth="1"/>
    <col min="4362" max="4362" width="14.77734375" style="211" customWidth="1"/>
    <col min="4363" max="4608" width="9.109375" style="211"/>
    <col min="4609" max="4609" width="35.33203125" style="211" customWidth="1"/>
    <col min="4610" max="4610" width="14.6640625" style="211" bestFit="1" customWidth="1"/>
    <col min="4611" max="4611" width="14.6640625" style="211" customWidth="1"/>
    <col min="4612" max="4612" width="11.33203125" style="211" customWidth="1"/>
    <col min="4613" max="4613" width="16.109375" style="211" customWidth="1"/>
    <col min="4614" max="4614" width="12.44140625" style="211" customWidth="1"/>
    <col min="4615" max="4615" width="14.109375" style="211" bestFit="1" customWidth="1"/>
    <col min="4616" max="4616" width="15.44140625" style="211" customWidth="1"/>
    <col min="4617" max="4617" width="16.44140625" style="211" bestFit="1" customWidth="1"/>
    <col min="4618" max="4618" width="14.77734375" style="211" customWidth="1"/>
    <col min="4619" max="4864" width="9.109375" style="211"/>
    <col min="4865" max="4865" width="35.33203125" style="211" customWidth="1"/>
    <col min="4866" max="4866" width="14.6640625" style="211" bestFit="1" customWidth="1"/>
    <col min="4867" max="4867" width="14.6640625" style="211" customWidth="1"/>
    <col min="4868" max="4868" width="11.33203125" style="211" customWidth="1"/>
    <col min="4869" max="4869" width="16.109375" style="211" customWidth="1"/>
    <col min="4870" max="4870" width="12.44140625" style="211" customWidth="1"/>
    <col min="4871" max="4871" width="14.109375" style="211" bestFit="1" customWidth="1"/>
    <col min="4872" max="4872" width="15.44140625" style="211" customWidth="1"/>
    <col min="4873" max="4873" width="16.44140625" style="211" bestFit="1" customWidth="1"/>
    <col min="4874" max="4874" width="14.77734375" style="211" customWidth="1"/>
    <col min="4875" max="5120" width="9.109375" style="211"/>
    <col min="5121" max="5121" width="35.33203125" style="211" customWidth="1"/>
    <col min="5122" max="5122" width="14.6640625" style="211" bestFit="1" customWidth="1"/>
    <col min="5123" max="5123" width="14.6640625" style="211" customWidth="1"/>
    <col min="5124" max="5124" width="11.33203125" style="211" customWidth="1"/>
    <col min="5125" max="5125" width="16.109375" style="211" customWidth="1"/>
    <col min="5126" max="5126" width="12.44140625" style="211" customWidth="1"/>
    <col min="5127" max="5127" width="14.109375" style="211" bestFit="1" customWidth="1"/>
    <col min="5128" max="5128" width="15.44140625" style="211" customWidth="1"/>
    <col min="5129" max="5129" width="16.44140625" style="211" bestFit="1" customWidth="1"/>
    <col min="5130" max="5130" width="14.77734375" style="211" customWidth="1"/>
    <col min="5131" max="5376" width="9.109375" style="211"/>
    <col min="5377" max="5377" width="35.33203125" style="211" customWidth="1"/>
    <col min="5378" max="5378" width="14.6640625" style="211" bestFit="1" customWidth="1"/>
    <col min="5379" max="5379" width="14.6640625" style="211" customWidth="1"/>
    <col min="5380" max="5380" width="11.33203125" style="211" customWidth="1"/>
    <col min="5381" max="5381" width="16.109375" style="211" customWidth="1"/>
    <col min="5382" max="5382" width="12.44140625" style="211" customWidth="1"/>
    <col min="5383" max="5383" width="14.109375" style="211" bestFit="1" customWidth="1"/>
    <col min="5384" max="5384" width="15.44140625" style="211" customWidth="1"/>
    <col min="5385" max="5385" width="16.44140625" style="211" bestFit="1" customWidth="1"/>
    <col min="5386" max="5386" width="14.77734375" style="211" customWidth="1"/>
    <col min="5387" max="5632" width="9.109375" style="211"/>
    <col min="5633" max="5633" width="35.33203125" style="211" customWidth="1"/>
    <col min="5634" max="5634" width="14.6640625" style="211" bestFit="1" customWidth="1"/>
    <col min="5635" max="5635" width="14.6640625" style="211" customWidth="1"/>
    <col min="5636" max="5636" width="11.33203125" style="211" customWidth="1"/>
    <col min="5637" max="5637" width="16.109375" style="211" customWidth="1"/>
    <col min="5638" max="5638" width="12.44140625" style="211" customWidth="1"/>
    <col min="5639" max="5639" width="14.109375" style="211" bestFit="1" customWidth="1"/>
    <col min="5640" max="5640" width="15.44140625" style="211" customWidth="1"/>
    <col min="5641" max="5641" width="16.44140625" style="211" bestFit="1" customWidth="1"/>
    <col min="5642" max="5642" width="14.77734375" style="211" customWidth="1"/>
    <col min="5643" max="5888" width="9.109375" style="211"/>
    <col min="5889" max="5889" width="35.33203125" style="211" customWidth="1"/>
    <col min="5890" max="5890" width="14.6640625" style="211" bestFit="1" customWidth="1"/>
    <col min="5891" max="5891" width="14.6640625" style="211" customWidth="1"/>
    <col min="5892" max="5892" width="11.33203125" style="211" customWidth="1"/>
    <col min="5893" max="5893" width="16.109375" style="211" customWidth="1"/>
    <col min="5894" max="5894" width="12.44140625" style="211" customWidth="1"/>
    <col min="5895" max="5895" width="14.109375" style="211" bestFit="1" customWidth="1"/>
    <col min="5896" max="5896" width="15.44140625" style="211" customWidth="1"/>
    <col min="5897" max="5897" width="16.44140625" style="211" bestFit="1" customWidth="1"/>
    <col min="5898" max="5898" width="14.77734375" style="211" customWidth="1"/>
    <col min="5899" max="6144" width="9.109375" style="211"/>
    <col min="6145" max="6145" width="35.33203125" style="211" customWidth="1"/>
    <col min="6146" max="6146" width="14.6640625" style="211" bestFit="1" customWidth="1"/>
    <col min="6147" max="6147" width="14.6640625" style="211" customWidth="1"/>
    <col min="6148" max="6148" width="11.33203125" style="211" customWidth="1"/>
    <col min="6149" max="6149" width="16.109375" style="211" customWidth="1"/>
    <col min="6150" max="6150" width="12.44140625" style="211" customWidth="1"/>
    <col min="6151" max="6151" width="14.109375" style="211" bestFit="1" customWidth="1"/>
    <col min="6152" max="6152" width="15.44140625" style="211" customWidth="1"/>
    <col min="6153" max="6153" width="16.44140625" style="211" bestFit="1" customWidth="1"/>
    <col min="6154" max="6154" width="14.77734375" style="211" customWidth="1"/>
    <col min="6155" max="6400" width="9.109375" style="211"/>
    <col min="6401" max="6401" width="35.33203125" style="211" customWidth="1"/>
    <col min="6402" max="6402" width="14.6640625" style="211" bestFit="1" customWidth="1"/>
    <col min="6403" max="6403" width="14.6640625" style="211" customWidth="1"/>
    <col min="6404" max="6404" width="11.33203125" style="211" customWidth="1"/>
    <col min="6405" max="6405" width="16.109375" style="211" customWidth="1"/>
    <col min="6406" max="6406" width="12.44140625" style="211" customWidth="1"/>
    <col min="6407" max="6407" width="14.109375" style="211" bestFit="1" customWidth="1"/>
    <col min="6408" max="6408" width="15.44140625" style="211" customWidth="1"/>
    <col min="6409" max="6409" width="16.44140625" style="211" bestFit="1" customWidth="1"/>
    <col min="6410" max="6410" width="14.77734375" style="211" customWidth="1"/>
    <col min="6411" max="6656" width="9.109375" style="211"/>
    <col min="6657" max="6657" width="35.33203125" style="211" customWidth="1"/>
    <col min="6658" max="6658" width="14.6640625" style="211" bestFit="1" customWidth="1"/>
    <col min="6659" max="6659" width="14.6640625" style="211" customWidth="1"/>
    <col min="6660" max="6660" width="11.33203125" style="211" customWidth="1"/>
    <col min="6661" max="6661" width="16.109375" style="211" customWidth="1"/>
    <col min="6662" max="6662" width="12.44140625" style="211" customWidth="1"/>
    <col min="6663" max="6663" width="14.109375" style="211" bestFit="1" customWidth="1"/>
    <col min="6664" max="6664" width="15.44140625" style="211" customWidth="1"/>
    <col min="6665" max="6665" width="16.44140625" style="211" bestFit="1" customWidth="1"/>
    <col min="6666" max="6666" width="14.77734375" style="211" customWidth="1"/>
    <col min="6667" max="6912" width="9.109375" style="211"/>
    <col min="6913" max="6913" width="35.33203125" style="211" customWidth="1"/>
    <col min="6914" max="6914" width="14.6640625" style="211" bestFit="1" customWidth="1"/>
    <col min="6915" max="6915" width="14.6640625" style="211" customWidth="1"/>
    <col min="6916" max="6916" width="11.33203125" style="211" customWidth="1"/>
    <col min="6917" max="6917" width="16.109375" style="211" customWidth="1"/>
    <col min="6918" max="6918" width="12.44140625" style="211" customWidth="1"/>
    <col min="6919" max="6919" width="14.109375" style="211" bestFit="1" customWidth="1"/>
    <col min="6920" max="6920" width="15.44140625" style="211" customWidth="1"/>
    <col min="6921" max="6921" width="16.44140625" style="211" bestFit="1" customWidth="1"/>
    <col min="6922" max="6922" width="14.77734375" style="211" customWidth="1"/>
    <col min="6923" max="7168" width="9.109375" style="211"/>
    <col min="7169" max="7169" width="35.33203125" style="211" customWidth="1"/>
    <col min="7170" max="7170" width="14.6640625" style="211" bestFit="1" customWidth="1"/>
    <col min="7171" max="7171" width="14.6640625" style="211" customWidth="1"/>
    <col min="7172" max="7172" width="11.33203125" style="211" customWidth="1"/>
    <col min="7173" max="7173" width="16.109375" style="211" customWidth="1"/>
    <col min="7174" max="7174" width="12.44140625" style="211" customWidth="1"/>
    <col min="7175" max="7175" width="14.109375" style="211" bestFit="1" customWidth="1"/>
    <col min="7176" max="7176" width="15.44140625" style="211" customWidth="1"/>
    <col min="7177" max="7177" width="16.44140625" style="211" bestFit="1" customWidth="1"/>
    <col min="7178" max="7178" width="14.77734375" style="211" customWidth="1"/>
    <col min="7179" max="7424" width="9.109375" style="211"/>
    <col min="7425" max="7425" width="35.33203125" style="211" customWidth="1"/>
    <col min="7426" max="7426" width="14.6640625" style="211" bestFit="1" customWidth="1"/>
    <col min="7427" max="7427" width="14.6640625" style="211" customWidth="1"/>
    <col min="7428" max="7428" width="11.33203125" style="211" customWidth="1"/>
    <col min="7429" max="7429" width="16.109375" style="211" customWidth="1"/>
    <col min="7430" max="7430" width="12.44140625" style="211" customWidth="1"/>
    <col min="7431" max="7431" width="14.109375" style="211" bestFit="1" customWidth="1"/>
    <col min="7432" max="7432" width="15.44140625" style="211" customWidth="1"/>
    <col min="7433" max="7433" width="16.44140625" style="211" bestFit="1" customWidth="1"/>
    <col min="7434" max="7434" width="14.77734375" style="211" customWidth="1"/>
    <col min="7435" max="7680" width="9.109375" style="211"/>
    <col min="7681" max="7681" width="35.33203125" style="211" customWidth="1"/>
    <col min="7682" max="7682" width="14.6640625" style="211" bestFit="1" customWidth="1"/>
    <col min="7683" max="7683" width="14.6640625" style="211" customWidth="1"/>
    <col min="7684" max="7684" width="11.33203125" style="211" customWidth="1"/>
    <col min="7685" max="7685" width="16.109375" style="211" customWidth="1"/>
    <col min="7686" max="7686" width="12.44140625" style="211" customWidth="1"/>
    <col min="7687" max="7687" width="14.109375" style="211" bestFit="1" customWidth="1"/>
    <col min="7688" max="7688" width="15.44140625" style="211" customWidth="1"/>
    <col min="7689" max="7689" width="16.44140625" style="211" bestFit="1" customWidth="1"/>
    <col min="7690" max="7690" width="14.77734375" style="211" customWidth="1"/>
    <col min="7691" max="7936" width="9.109375" style="211"/>
    <col min="7937" max="7937" width="35.33203125" style="211" customWidth="1"/>
    <col min="7938" max="7938" width="14.6640625" style="211" bestFit="1" customWidth="1"/>
    <col min="7939" max="7939" width="14.6640625" style="211" customWidth="1"/>
    <col min="7940" max="7940" width="11.33203125" style="211" customWidth="1"/>
    <col min="7941" max="7941" width="16.109375" style="211" customWidth="1"/>
    <col min="7942" max="7942" width="12.44140625" style="211" customWidth="1"/>
    <col min="7943" max="7943" width="14.109375" style="211" bestFit="1" customWidth="1"/>
    <col min="7944" max="7944" width="15.44140625" style="211" customWidth="1"/>
    <col min="7945" max="7945" width="16.44140625" style="211" bestFit="1" customWidth="1"/>
    <col min="7946" max="7946" width="14.77734375" style="211" customWidth="1"/>
    <col min="7947" max="8192" width="9.109375" style="211"/>
    <col min="8193" max="8193" width="35.33203125" style="211" customWidth="1"/>
    <col min="8194" max="8194" width="14.6640625" style="211" bestFit="1" customWidth="1"/>
    <col min="8195" max="8195" width="14.6640625" style="211" customWidth="1"/>
    <col min="8196" max="8196" width="11.33203125" style="211" customWidth="1"/>
    <col min="8197" max="8197" width="16.109375" style="211" customWidth="1"/>
    <col min="8198" max="8198" width="12.44140625" style="211" customWidth="1"/>
    <col min="8199" max="8199" width="14.109375" style="211" bestFit="1" customWidth="1"/>
    <col min="8200" max="8200" width="15.44140625" style="211" customWidth="1"/>
    <col min="8201" max="8201" width="16.44140625" style="211" bestFit="1" customWidth="1"/>
    <col min="8202" max="8202" width="14.77734375" style="211" customWidth="1"/>
    <col min="8203" max="8448" width="9.109375" style="211"/>
    <col min="8449" max="8449" width="35.33203125" style="211" customWidth="1"/>
    <col min="8450" max="8450" width="14.6640625" style="211" bestFit="1" customWidth="1"/>
    <col min="8451" max="8451" width="14.6640625" style="211" customWidth="1"/>
    <col min="8452" max="8452" width="11.33203125" style="211" customWidth="1"/>
    <col min="8453" max="8453" width="16.109375" style="211" customWidth="1"/>
    <col min="8454" max="8454" width="12.44140625" style="211" customWidth="1"/>
    <col min="8455" max="8455" width="14.109375" style="211" bestFit="1" customWidth="1"/>
    <col min="8456" max="8456" width="15.44140625" style="211" customWidth="1"/>
    <col min="8457" max="8457" width="16.44140625" style="211" bestFit="1" customWidth="1"/>
    <col min="8458" max="8458" width="14.77734375" style="211" customWidth="1"/>
    <col min="8459" max="8704" width="9.109375" style="211"/>
    <col min="8705" max="8705" width="35.33203125" style="211" customWidth="1"/>
    <col min="8706" max="8706" width="14.6640625" style="211" bestFit="1" customWidth="1"/>
    <col min="8707" max="8707" width="14.6640625" style="211" customWidth="1"/>
    <col min="8708" max="8708" width="11.33203125" style="211" customWidth="1"/>
    <col min="8709" max="8709" width="16.109375" style="211" customWidth="1"/>
    <col min="8710" max="8710" width="12.44140625" style="211" customWidth="1"/>
    <col min="8711" max="8711" width="14.109375" style="211" bestFit="1" customWidth="1"/>
    <col min="8712" max="8712" width="15.44140625" style="211" customWidth="1"/>
    <col min="8713" max="8713" width="16.44140625" style="211" bestFit="1" customWidth="1"/>
    <col min="8714" max="8714" width="14.77734375" style="211" customWidth="1"/>
    <col min="8715" max="8960" width="9.109375" style="211"/>
    <col min="8961" max="8961" width="35.33203125" style="211" customWidth="1"/>
    <col min="8962" max="8962" width="14.6640625" style="211" bestFit="1" customWidth="1"/>
    <col min="8963" max="8963" width="14.6640625" style="211" customWidth="1"/>
    <col min="8964" max="8964" width="11.33203125" style="211" customWidth="1"/>
    <col min="8965" max="8965" width="16.109375" style="211" customWidth="1"/>
    <col min="8966" max="8966" width="12.44140625" style="211" customWidth="1"/>
    <col min="8967" max="8967" width="14.109375" style="211" bestFit="1" customWidth="1"/>
    <col min="8968" max="8968" width="15.44140625" style="211" customWidth="1"/>
    <col min="8969" max="8969" width="16.44140625" style="211" bestFit="1" customWidth="1"/>
    <col min="8970" max="8970" width="14.77734375" style="211" customWidth="1"/>
    <col min="8971" max="9216" width="9.109375" style="211"/>
    <col min="9217" max="9217" width="35.33203125" style="211" customWidth="1"/>
    <col min="9218" max="9218" width="14.6640625" style="211" bestFit="1" customWidth="1"/>
    <col min="9219" max="9219" width="14.6640625" style="211" customWidth="1"/>
    <col min="9220" max="9220" width="11.33203125" style="211" customWidth="1"/>
    <col min="9221" max="9221" width="16.109375" style="211" customWidth="1"/>
    <col min="9222" max="9222" width="12.44140625" style="211" customWidth="1"/>
    <col min="9223" max="9223" width="14.109375" style="211" bestFit="1" customWidth="1"/>
    <col min="9224" max="9224" width="15.44140625" style="211" customWidth="1"/>
    <col min="9225" max="9225" width="16.44140625" style="211" bestFit="1" customWidth="1"/>
    <col min="9226" max="9226" width="14.77734375" style="211" customWidth="1"/>
    <col min="9227" max="9472" width="9.109375" style="211"/>
    <col min="9473" max="9473" width="35.33203125" style="211" customWidth="1"/>
    <col min="9474" max="9474" width="14.6640625" style="211" bestFit="1" customWidth="1"/>
    <col min="9475" max="9475" width="14.6640625" style="211" customWidth="1"/>
    <col min="9476" max="9476" width="11.33203125" style="211" customWidth="1"/>
    <col min="9477" max="9477" width="16.109375" style="211" customWidth="1"/>
    <col min="9478" max="9478" width="12.44140625" style="211" customWidth="1"/>
    <col min="9479" max="9479" width="14.109375" style="211" bestFit="1" customWidth="1"/>
    <col min="9480" max="9480" width="15.44140625" style="211" customWidth="1"/>
    <col min="9481" max="9481" width="16.44140625" style="211" bestFit="1" customWidth="1"/>
    <col min="9482" max="9482" width="14.77734375" style="211" customWidth="1"/>
    <col min="9483" max="9728" width="9.109375" style="211"/>
    <col min="9729" max="9729" width="35.33203125" style="211" customWidth="1"/>
    <col min="9730" max="9730" width="14.6640625" style="211" bestFit="1" customWidth="1"/>
    <col min="9731" max="9731" width="14.6640625" style="211" customWidth="1"/>
    <col min="9732" max="9732" width="11.33203125" style="211" customWidth="1"/>
    <col min="9733" max="9733" width="16.109375" style="211" customWidth="1"/>
    <col min="9734" max="9734" width="12.44140625" style="211" customWidth="1"/>
    <col min="9735" max="9735" width="14.109375" style="211" bestFit="1" customWidth="1"/>
    <col min="9736" max="9736" width="15.44140625" style="211" customWidth="1"/>
    <col min="9737" max="9737" width="16.44140625" style="211" bestFit="1" customWidth="1"/>
    <col min="9738" max="9738" width="14.77734375" style="211" customWidth="1"/>
    <col min="9739" max="9984" width="9.109375" style="211"/>
    <col min="9985" max="9985" width="35.33203125" style="211" customWidth="1"/>
    <col min="9986" max="9986" width="14.6640625" style="211" bestFit="1" customWidth="1"/>
    <col min="9987" max="9987" width="14.6640625" style="211" customWidth="1"/>
    <col min="9988" max="9988" width="11.33203125" style="211" customWidth="1"/>
    <col min="9989" max="9989" width="16.109375" style="211" customWidth="1"/>
    <col min="9990" max="9990" width="12.44140625" style="211" customWidth="1"/>
    <col min="9991" max="9991" width="14.109375" style="211" bestFit="1" customWidth="1"/>
    <col min="9992" max="9992" width="15.44140625" style="211" customWidth="1"/>
    <col min="9993" max="9993" width="16.44140625" style="211" bestFit="1" customWidth="1"/>
    <col min="9994" max="9994" width="14.77734375" style="211" customWidth="1"/>
    <col min="9995" max="10240" width="9.109375" style="211"/>
    <col min="10241" max="10241" width="35.33203125" style="211" customWidth="1"/>
    <col min="10242" max="10242" width="14.6640625" style="211" bestFit="1" customWidth="1"/>
    <col min="10243" max="10243" width="14.6640625" style="211" customWidth="1"/>
    <col min="10244" max="10244" width="11.33203125" style="211" customWidth="1"/>
    <col min="10245" max="10245" width="16.109375" style="211" customWidth="1"/>
    <col min="10246" max="10246" width="12.44140625" style="211" customWidth="1"/>
    <col min="10247" max="10247" width="14.109375" style="211" bestFit="1" customWidth="1"/>
    <col min="10248" max="10248" width="15.44140625" style="211" customWidth="1"/>
    <col min="10249" max="10249" width="16.44140625" style="211" bestFit="1" customWidth="1"/>
    <col min="10250" max="10250" width="14.77734375" style="211" customWidth="1"/>
    <col min="10251" max="10496" width="9.109375" style="211"/>
    <col min="10497" max="10497" width="35.33203125" style="211" customWidth="1"/>
    <col min="10498" max="10498" width="14.6640625" style="211" bestFit="1" customWidth="1"/>
    <col min="10499" max="10499" width="14.6640625" style="211" customWidth="1"/>
    <col min="10500" max="10500" width="11.33203125" style="211" customWidth="1"/>
    <col min="10501" max="10501" width="16.109375" style="211" customWidth="1"/>
    <col min="10502" max="10502" width="12.44140625" style="211" customWidth="1"/>
    <col min="10503" max="10503" width="14.109375" style="211" bestFit="1" customWidth="1"/>
    <col min="10504" max="10504" width="15.44140625" style="211" customWidth="1"/>
    <col min="10505" max="10505" width="16.44140625" style="211" bestFit="1" customWidth="1"/>
    <col min="10506" max="10506" width="14.77734375" style="211" customWidth="1"/>
    <col min="10507" max="10752" width="9.109375" style="211"/>
    <col min="10753" max="10753" width="35.33203125" style="211" customWidth="1"/>
    <col min="10754" max="10754" width="14.6640625" style="211" bestFit="1" customWidth="1"/>
    <col min="10755" max="10755" width="14.6640625" style="211" customWidth="1"/>
    <col min="10756" max="10756" width="11.33203125" style="211" customWidth="1"/>
    <col min="10757" max="10757" width="16.109375" style="211" customWidth="1"/>
    <col min="10758" max="10758" width="12.44140625" style="211" customWidth="1"/>
    <col min="10759" max="10759" width="14.109375" style="211" bestFit="1" customWidth="1"/>
    <col min="10760" max="10760" width="15.44140625" style="211" customWidth="1"/>
    <col min="10761" max="10761" width="16.44140625" style="211" bestFit="1" customWidth="1"/>
    <col min="10762" max="10762" width="14.77734375" style="211" customWidth="1"/>
    <col min="10763" max="11008" width="9.109375" style="211"/>
    <col min="11009" max="11009" width="35.33203125" style="211" customWidth="1"/>
    <col min="11010" max="11010" width="14.6640625" style="211" bestFit="1" customWidth="1"/>
    <col min="11011" max="11011" width="14.6640625" style="211" customWidth="1"/>
    <col min="11012" max="11012" width="11.33203125" style="211" customWidth="1"/>
    <col min="11013" max="11013" width="16.109375" style="211" customWidth="1"/>
    <col min="11014" max="11014" width="12.44140625" style="211" customWidth="1"/>
    <col min="11015" max="11015" width="14.109375" style="211" bestFit="1" customWidth="1"/>
    <col min="11016" max="11016" width="15.44140625" style="211" customWidth="1"/>
    <col min="11017" max="11017" width="16.44140625" style="211" bestFit="1" customWidth="1"/>
    <col min="11018" max="11018" width="14.77734375" style="211" customWidth="1"/>
    <col min="11019" max="11264" width="9.109375" style="211"/>
    <col min="11265" max="11265" width="35.33203125" style="211" customWidth="1"/>
    <col min="11266" max="11266" width="14.6640625" style="211" bestFit="1" customWidth="1"/>
    <col min="11267" max="11267" width="14.6640625" style="211" customWidth="1"/>
    <col min="11268" max="11268" width="11.33203125" style="211" customWidth="1"/>
    <col min="11269" max="11269" width="16.109375" style="211" customWidth="1"/>
    <col min="11270" max="11270" width="12.44140625" style="211" customWidth="1"/>
    <col min="11271" max="11271" width="14.109375" style="211" bestFit="1" customWidth="1"/>
    <col min="11272" max="11272" width="15.44140625" style="211" customWidth="1"/>
    <col min="11273" max="11273" width="16.44140625" style="211" bestFit="1" customWidth="1"/>
    <col min="11274" max="11274" width="14.77734375" style="211" customWidth="1"/>
    <col min="11275" max="11520" width="9.109375" style="211"/>
    <col min="11521" max="11521" width="35.33203125" style="211" customWidth="1"/>
    <col min="11522" max="11522" width="14.6640625" style="211" bestFit="1" customWidth="1"/>
    <col min="11523" max="11523" width="14.6640625" style="211" customWidth="1"/>
    <col min="11524" max="11524" width="11.33203125" style="211" customWidth="1"/>
    <col min="11525" max="11525" width="16.109375" style="211" customWidth="1"/>
    <col min="11526" max="11526" width="12.44140625" style="211" customWidth="1"/>
    <col min="11527" max="11527" width="14.109375" style="211" bestFit="1" customWidth="1"/>
    <col min="11528" max="11528" width="15.44140625" style="211" customWidth="1"/>
    <col min="11529" max="11529" width="16.44140625" style="211" bestFit="1" customWidth="1"/>
    <col min="11530" max="11530" width="14.77734375" style="211" customWidth="1"/>
    <col min="11531" max="11776" width="9.109375" style="211"/>
    <col min="11777" max="11777" width="35.33203125" style="211" customWidth="1"/>
    <col min="11778" max="11778" width="14.6640625" style="211" bestFit="1" customWidth="1"/>
    <col min="11779" max="11779" width="14.6640625" style="211" customWidth="1"/>
    <col min="11780" max="11780" width="11.33203125" style="211" customWidth="1"/>
    <col min="11781" max="11781" width="16.109375" style="211" customWidth="1"/>
    <col min="11782" max="11782" width="12.44140625" style="211" customWidth="1"/>
    <col min="11783" max="11783" width="14.109375" style="211" bestFit="1" customWidth="1"/>
    <col min="11784" max="11784" width="15.44140625" style="211" customWidth="1"/>
    <col min="11785" max="11785" width="16.44140625" style="211" bestFit="1" customWidth="1"/>
    <col min="11786" max="11786" width="14.77734375" style="211" customWidth="1"/>
    <col min="11787" max="12032" width="9.109375" style="211"/>
    <col min="12033" max="12033" width="35.33203125" style="211" customWidth="1"/>
    <col min="12034" max="12034" width="14.6640625" style="211" bestFit="1" customWidth="1"/>
    <col min="12035" max="12035" width="14.6640625" style="211" customWidth="1"/>
    <col min="12036" max="12036" width="11.33203125" style="211" customWidth="1"/>
    <col min="12037" max="12037" width="16.109375" style="211" customWidth="1"/>
    <col min="12038" max="12038" width="12.44140625" style="211" customWidth="1"/>
    <col min="12039" max="12039" width="14.109375" style="211" bestFit="1" customWidth="1"/>
    <col min="12040" max="12040" width="15.44140625" style="211" customWidth="1"/>
    <col min="12041" max="12041" width="16.44140625" style="211" bestFit="1" customWidth="1"/>
    <col min="12042" max="12042" width="14.77734375" style="211" customWidth="1"/>
    <col min="12043" max="12288" width="9.109375" style="211"/>
    <col min="12289" max="12289" width="35.33203125" style="211" customWidth="1"/>
    <col min="12290" max="12290" width="14.6640625" style="211" bestFit="1" customWidth="1"/>
    <col min="12291" max="12291" width="14.6640625" style="211" customWidth="1"/>
    <col min="12292" max="12292" width="11.33203125" style="211" customWidth="1"/>
    <col min="12293" max="12293" width="16.109375" style="211" customWidth="1"/>
    <col min="12294" max="12294" width="12.44140625" style="211" customWidth="1"/>
    <col min="12295" max="12295" width="14.109375" style="211" bestFit="1" customWidth="1"/>
    <col min="12296" max="12296" width="15.44140625" style="211" customWidth="1"/>
    <col min="12297" max="12297" width="16.44140625" style="211" bestFit="1" customWidth="1"/>
    <col min="12298" max="12298" width="14.77734375" style="211" customWidth="1"/>
    <col min="12299" max="12544" width="9.109375" style="211"/>
    <col min="12545" max="12545" width="35.33203125" style="211" customWidth="1"/>
    <col min="12546" max="12546" width="14.6640625" style="211" bestFit="1" customWidth="1"/>
    <col min="12547" max="12547" width="14.6640625" style="211" customWidth="1"/>
    <col min="12548" max="12548" width="11.33203125" style="211" customWidth="1"/>
    <col min="12549" max="12549" width="16.109375" style="211" customWidth="1"/>
    <col min="12550" max="12550" width="12.44140625" style="211" customWidth="1"/>
    <col min="12551" max="12551" width="14.109375" style="211" bestFit="1" customWidth="1"/>
    <col min="12552" max="12552" width="15.44140625" style="211" customWidth="1"/>
    <col min="12553" max="12553" width="16.44140625" style="211" bestFit="1" customWidth="1"/>
    <col min="12554" max="12554" width="14.77734375" style="211" customWidth="1"/>
    <col min="12555" max="12800" width="9.109375" style="211"/>
    <col min="12801" max="12801" width="35.33203125" style="211" customWidth="1"/>
    <col min="12802" max="12802" width="14.6640625" style="211" bestFit="1" customWidth="1"/>
    <col min="12803" max="12803" width="14.6640625" style="211" customWidth="1"/>
    <col min="12804" max="12804" width="11.33203125" style="211" customWidth="1"/>
    <col min="12805" max="12805" width="16.109375" style="211" customWidth="1"/>
    <col min="12806" max="12806" width="12.44140625" style="211" customWidth="1"/>
    <col min="12807" max="12807" width="14.109375" style="211" bestFit="1" customWidth="1"/>
    <col min="12808" max="12808" width="15.44140625" style="211" customWidth="1"/>
    <col min="12809" max="12809" width="16.44140625" style="211" bestFit="1" customWidth="1"/>
    <col min="12810" max="12810" width="14.77734375" style="211" customWidth="1"/>
    <col min="12811" max="13056" width="9.109375" style="211"/>
    <col min="13057" max="13057" width="35.33203125" style="211" customWidth="1"/>
    <col min="13058" max="13058" width="14.6640625" style="211" bestFit="1" customWidth="1"/>
    <col min="13059" max="13059" width="14.6640625" style="211" customWidth="1"/>
    <col min="13060" max="13060" width="11.33203125" style="211" customWidth="1"/>
    <col min="13061" max="13061" width="16.109375" style="211" customWidth="1"/>
    <col min="13062" max="13062" width="12.44140625" style="211" customWidth="1"/>
    <col min="13063" max="13063" width="14.109375" style="211" bestFit="1" customWidth="1"/>
    <col min="13064" max="13064" width="15.44140625" style="211" customWidth="1"/>
    <col min="13065" max="13065" width="16.44140625" style="211" bestFit="1" customWidth="1"/>
    <col min="13066" max="13066" width="14.77734375" style="211" customWidth="1"/>
    <col min="13067" max="13312" width="9.109375" style="211"/>
    <col min="13313" max="13313" width="35.33203125" style="211" customWidth="1"/>
    <col min="13314" max="13314" width="14.6640625" style="211" bestFit="1" customWidth="1"/>
    <col min="13315" max="13315" width="14.6640625" style="211" customWidth="1"/>
    <col min="13316" max="13316" width="11.33203125" style="211" customWidth="1"/>
    <col min="13317" max="13317" width="16.109375" style="211" customWidth="1"/>
    <col min="13318" max="13318" width="12.44140625" style="211" customWidth="1"/>
    <col min="13319" max="13319" width="14.109375" style="211" bestFit="1" customWidth="1"/>
    <col min="13320" max="13320" width="15.44140625" style="211" customWidth="1"/>
    <col min="13321" max="13321" width="16.44140625" style="211" bestFit="1" customWidth="1"/>
    <col min="13322" max="13322" width="14.77734375" style="211" customWidth="1"/>
    <col min="13323" max="13568" width="9.109375" style="211"/>
    <col min="13569" max="13569" width="35.33203125" style="211" customWidth="1"/>
    <col min="13570" max="13570" width="14.6640625" style="211" bestFit="1" customWidth="1"/>
    <col min="13571" max="13571" width="14.6640625" style="211" customWidth="1"/>
    <col min="13572" max="13572" width="11.33203125" style="211" customWidth="1"/>
    <col min="13573" max="13573" width="16.109375" style="211" customWidth="1"/>
    <col min="13574" max="13574" width="12.44140625" style="211" customWidth="1"/>
    <col min="13575" max="13575" width="14.109375" style="211" bestFit="1" customWidth="1"/>
    <col min="13576" max="13576" width="15.44140625" style="211" customWidth="1"/>
    <col min="13577" max="13577" width="16.44140625" style="211" bestFit="1" customWidth="1"/>
    <col min="13578" max="13578" width="14.77734375" style="211" customWidth="1"/>
    <col min="13579" max="13824" width="9.109375" style="211"/>
    <col min="13825" max="13825" width="35.33203125" style="211" customWidth="1"/>
    <col min="13826" max="13826" width="14.6640625" style="211" bestFit="1" customWidth="1"/>
    <col min="13827" max="13827" width="14.6640625" style="211" customWidth="1"/>
    <col min="13828" max="13828" width="11.33203125" style="211" customWidth="1"/>
    <col min="13829" max="13829" width="16.109375" style="211" customWidth="1"/>
    <col min="13830" max="13830" width="12.44140625" style="211" customWidth="1"/>
    <col min="13831" max="13831" width="14.109375" style="211" bestFit="1" customWidth="1"/>
    <col min="13832" max="13832" width="15.44140625" style="211" customWidth="1"/>
    <col min="13833" max="13833" width="16.44140625" style="211" bestFit="1" customWidth="1"/>
    <col min="13834" max="13834" width="14.77734375" style="211" customWidth="1"/>
    <col min="13835" max="14080" width="9.109375" style="211"/>
    <col min="14081" max="14081" width="35.33203125" style="211" customWidth="1"/>
    <col min="14082" max="14082" width="14.6640625" style="211" bestFit="1" customWidth="1"/>
    <col min="14083" max="14083" width="14.6640625" style="211" customWidth="1"/>
    <col min="14084" max="14084" width="11.33203125" style="211" customWidth="1"/>
    <col min="14085" max="14085" width="16.109375" style="211" customWidth="1"/>
    <col min="14086" max="14086" width="12.44140625" style="211" customWidth="1"/>
    <col min="14087" max="14087" width="14.109375" style="211" bestFit="1" customWidth="1"/>
    <col min="14088" max="14088" width="15.44140625" style="211" customWidth="1"/>
    <col min="14089" max="14089" width="16.44140625" style="211" bestFit="1" customWidth="1"/>
    <col min="14090" max="14090" width="14.77734375" style="211" customWidth="1"/>
    <col min="14091" max="14336" width="9.109375" style="211"/>
    <col min="14337" max="14337" width="35.33203125" style="211" customWidth="1"/>
    <col min="14338" max="14338" width="14.6640625" style="211" bestFit="1" customWidth="1"/>
    <col min="14339" max="14339" width="14.6640625" style="211" customWidth="1"/>
    <col min="14340" max="14340" width="11.33203125" style="211" customWidth="1"/>
    <col min="14341" max="14341" width="16.109375" style="211" customWidth="1"/>
    <col min="14342" max="14342" width="12.44140625" style="211" customWidth="1"/>
    <col min="14343" max="14343" width="14.109375" style="211" bestFit="1" customWidth="1"/>
    <col min="14344" max="14344" width="15.44140625" style="211" customWidth="1"/>
    <col min="14345" max="14345" width="16.44140625" style="211" bestFit="1" customWidth="1"/>
    <col min="14346" max="14346" width="14.77734375" style="211" customWidth="1"/>
    <col min="14347" max="14592" width="9.109375" style="211"/>
    <col min="14593" max="14593" width="35.33203125" style="211" customWidth="1"/>
    <col min="14594" max="14594" width="14.6640625" style="211" bestFit="1" customWidth="1"/>
    <col min="14595" max="14595" width="14.6640625" style="211" customWidth="1"/>
    <col min="14596" max="14596" width="11.33203125" style="211" customWidth="1"/>
    <col min="14597" max="14597" width="16.109375" style="211" customWidth="1"/>
    <col min="14598" max="14598" width="12.44140625" style="211" customWidth="1"/>
    <col min="14599" max="14599" width="14.109375" style="211" bestFit="1" customWidth="1"/>
    <col min="14600" max="14600" width="15.44140625" style="211" customWidth="1"/>
    <col min="14601" max="14601" width="16.44140625" style="211" bestFit="1" customWidth="1"/>
    <col min="14602" max="14602" width="14.77734375" style="211" customWidth="1"/>
    <col min="14603" max="14848" width="9.109375" style="211"/>
    <col min="14849" max="14849" width="35.33203125" style="211" customWidth="1"/>
    <col min="14850" max="14850" width="14.6640625" style="211" bestFit="1" customWidth="1"/>
    <col min="14851" max="14851" width="14.6640625" style="211" customWidth="1"/>
    <col min="14852" max="14852" width="11.33203125" style="211" customWidth="1"/>
    <col min="14853" max="14853" width="16.109375" style="211" customWidth="1"/>
    <col min="14854" max="14854" width="12.44140625" style="211" customWidth="1"/>
    <col min="14855" max="14855" width="14.109375" style="211" bestFit="1" customWidth="1"/>
    <col min="14856" max="14856" width="15.44140625" style="211" customWidth="1"/>
    <col min="14857" max="14857" width="16.44140625" style="211" bestFit="1" customWidth="1"/>
    <col min="14858" max="14858" width="14.77734375" style="211" customWidth="1"/>
    <col min="14859" max="15104" width="9.109375" style="211"/>
    <col min="15105" max="15105" width="35.33203125" style="211" customWidth="1"/>
    <col min="15106" max="15106" width="14.6640625" style="211" bestFit="1" customWidth="1"/>
    <col min="15107" max="15107" width="14.6640625" style="211" customWidth="1"/>
    <col min="15108" max="15108" width="11.33203125" style="211" customWidth="1"/>
    <col min="15109" max="15109" width="16.109375" style="211" customWidth="1"/>
    <col min="15110" max="15110" width="12.44140625" style="211" customWidth="1"/>
    <col min="15111" max="15111" width="14.109375" style="211" bestFit="1" customWidth="1"/>
    <col min="15112" max="15112" width="15.44140625" style="211" customWidth="1"/>
    <col min="15113" max="15113" width="16.44140625" style="211" bestFit="1" customWidth="1"/>
    <col min="15114" max="15114" width="14.77734375" style="211" customWidth="1"/>
    <col min="15115" max="15360" width="9.109375" style="211"/>
    <col min="15361" max="15361" width="35.33203125" style="211" customWidth="1"/>
    <col min="15362" max="15362" width="14.6640625" style="211" bestFit="1" customWidth="1"/>
    <col min="15363" max="15363" width="14.6640625" style="211" customWidth="1"/>
    <col min="15364" max="15364" width="11.33203125" style="211" customWidth="1"/>
    <col min="15365" max="15365" width="16.109375" style="211" customWidth="1"/>
    <col min="15366" max="15366" width="12.44140625" style="211" customWidth="1"/>
    <col min="15367" max="15367" width="14.109375" style="211" bestFit="1" customWidth="1"/>
    <col min="15368" max="15368" width="15.44140625" style="211" customWidth="1"/>
    <col min="15369" max="15369" width="16.44140625" style="211" bestFit="1" customWidth="1"/>
    <col min="15370" max="15370" width="14.77734375" style="211" customWidth="1"/>
    <col min="15371" max="15616" width="9.109375" style="211"/>
    <col min="15617" max="15617" width="35.33203125" style="211" customWidth="1"/>
    <col min="15618" max="15618" width="14.6640625" style="211" bestFit="1" customWidth="1"/>
    <col min="15619" max="15619" width="14.6640625" style="211" customWidth="1"/>
    <col min="15620" max="15620" width="11.33203125" style="211" customWidth="1"/>
    <col min="15621" max="15621" width="16.109375" style="211" customWidth="1"/>
    <col min="15622" max="15622" width="12.44140625" style="211" customWidth="1"/>
    <col min="15623" max="15623" width="14.109375" style="211" bestFit="1" customWidth="1"/>
    <col min="15624" max="15624" width="15.44140625" style="211" customWidth="1"/>
    <col min="15625" max="15625" width="16.44140625" style="211" bestFit="1" customWidth="1"/>
    <col min="15626" max="15626" width="14.77734375" style="211" customWidth="1"/>
    <col min="15627" max="15872" width="9.109375" style="211"/>
    <col min="15873" max="15873" width="35.33203125" style="211" customWidth="1"/>
    <col min="15874" max="15874" width="14.6640625" style="211" bestFit="1" customWidth="1"/>
    <col min="15875" max="15875" width="14.6640625" style="211" customWidth="1"/>
    <col min="15876" max="15876" width="11.33203125" style="211" customWidth="1"/>
    <col min="15877" max="15877" width="16.109375" style="211" customWidth="1"/>
    <col min="15878" max="15878" width="12.44140625" style="211" customWidth="1"/>
    <col min="15879" max="15879" width="14.109375" style="211" bestFit="1" customWidth="1"/>
    <col min="15880" max="15880" width="15.44140625" style="211" customWidth="1"/>
    <col min="15881" max="15881" width="16.44140625" style="211" bestFit="1" customWidth="1"/>
    <col min="15882" max="15882" width="14.77734375" style="211" customWidth="1"/>
    <col min="15883" max="16128" width="9.109375" style="211"/>
    <col min="16129" max="16129" width="35.33203125" style="211" customWidth="1"/>
    <col min="16130" max="16130" width="14.6640625" style="211" bestFit="1" customWidth="1"/>
    <col min="16131" max="16131" width="14.6640625" style="211" customWidth="1"/>
    <col min="16132" max="16132" width="11.33203125" style="211" customWidth="1"/>
    <col min="16133" max="16133" width="16.109375" style="211" customWidth="1"/>
    <col min="16134" max="16134" width="12.44140625" style="211" customWidth="1"/>
    <col min="16135" max="16135" width="14.109375" style="211" bestFit="1" customWidth="1"/>
    <col min="16136" max="16136" width="15.44140625" style="211" customWidth="1"/>
    <col min="16137" max="16137" width="16.44140625" style="211" bestFit="1" customWidth="1"/>
    <col min="16138" max="16138" width="14.77734375" style="211" customWidth="1"/>
    <col min="16139" max="16384" width="9.109375" style="211"/>
  </cols>
  <sheetData>
    <row r="1" spans="1:25" ht="15.75" customHeight="1">
      <c r="A1" s="209" t="s">
        <v>232</v>
      </c>
      <c r="B1" s="210"/>
      <c r="C1" s="210"/>
      <c r="D1" s="210"/>
      <c r="E1" s="210"/>
      <c r="F1" s="210"/>
      <c r="G1" s="210"/>
      <c r="H1" s="210"/>
    </row>
    <row r="2" spans="1:25" ht="15.75" customHeight="1">
      <c r="A2" s="274" t="s">
        <v>233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25" ht="15.75" customHeight="1">
      <c r="A3" s="212"/>
      <c r="B3" s="213"/>
      <c r="C3" s="213"/>
      <c r="D3" s="214"/>
      <c r="E3" s="214"/>
      <c r="F3" s="214"/>
    </row>
    <row r="4" spans="1:25" s="218" customFormat="1" ht="73.5" customHeight="1">
      <c r="A4" s="215" t="s">
        <v>2</v>
      </c>
      <c r="B4" s="216" t="s">
        <v>223</v>
      </c>
      <c r="C4" s="216" t="s">
        <v>234</v>
      </c>
      <c r="D4" s="216" t="s">
        <v>235</v>
      </c>
      <c r="E4" s="216" t="s">
        <v>236</v>
      </c>
      <c r="F4" s="216" t="s">
        <v>237</v>
      </c>
      <c r="G4" s="216" t="s">
        <v>238</v>
      </c>
      <c r="H4" s="216" t="s">
        <v>239</v>
      </c>
      <c r="I4" s="216" t="s">
        <v>240</v>
      </c>
      <c r="J4" s="216" t="s">
        <v>241</v>
      </c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>
      <c r="A5" s="219" t="s">
        <v>242</v>
      </c>
      <c r="B5" s="220">
        <v>10000000</v>
      </c>
      <c r="C5" s="221"/>
      <c r="D5" s="220"/>
      <c r="E5" s="221">
        <f>B5+D5</f>
        <v>10000000</v>
      </c>
      <c r="F5" s="222">
        <f t="shared" ref="F5:F11" si="0">E5/$E$29</f>
        <v>0.44911086602632139</v>
      </c>
      <c r="G5" s="220">
        <f t="shared" ref="G5:G17" si="1">SUM(B5:D5)</f>
        <v>10000000</v>
      </c>
      <c r="H5" s="223">
        <f t="shared" ref="H5:H26" si="2">G5/$G$29</f>
        <v>0.40296230485089651</v>
      </c>
      <c r="I5" s="219" t="s">
        <v>243</v>
      </c>
      <c r="J5" s="224">
        <v>1E-3</v>
      </c>
    </row>
    <row r="6" spans="1:25">
      <c r="A6" s="219" t="s">
        <v>244</v>
      </c>
      <c r="B6" s="220">
        <v>50000</v>
      </c>
      <c r="C6" s="221"/>
      <c r="D6" s="220"/>
      <c r="E6" s="221">
        <f t="shared" ref="E6:E26" si="3">B6+D6</f>
        <v>50000</v>
      </c>
      <c r="F6" s="222">
        <f t="shared" si="0"/>
        <v>2.2455543301316068E-3</v>
      </c>
      <c r="G6" s="220">
        <f t="shared" si="1"/>
        <v>50000</v>
      </c>
      <c r="H6" s="223">
        <f t="shared" si="2"/>
        <v>2.0148115242544823E-3</v>
      </c>
      <c r="I6" s="219" t="s">
        <v>245</v>
      </c>
      <c r="J6" s="225">
        <v>0.5</v>
      </c>
    </row>
    <row r="7" spans="1:25">
      <c r="A7" s="219" t="s">
        <v>246</v>
      </c>
      <c r="B7" s="220">
        <v>50000</v>
      </c>
      <c r="C7" s="221"/>
      <c r="D7" s="220"/>
      <c r="E7" s="221">
        <f t="shared" si="3"/>
        <v>50000</v>
      </c>
      <c r="F7" s="222">
        <f t="shared" si="0"/>
        <v>2.2455543301316068E-3</v>
      </c>
      <c r="G7" s="220">
        <f t="shared" si="1"/>
        <v>50000</v>
      </c>
      <c r="H7" s="223">
        <f t="shared" si="2"/>
        <v>2.0148115242544823E-3</v>
      </c>
      <c r="I7" s="219" t="s">
        <v>245</v>
      </c>
      <c r="J7" s="225">
        <v>0.5</v>
      </c>
    </row>
    <row r="8" spans="1:25">
      <c r="A8" s="219" t="s">
        <v>247</v>
      </c>
      <c r="B8" s="220">
        <v>50000</v>
      </c>
      <c r="C8" s="221"/>
      <c r="D8" s="220"/>
      <c r="E8" s="221">
        <f t="shared" si="3"/>
        <v>50000</v>
      </c>
      <c r="F8" s="222">
        <f t="shared" si="0"/>
        <v>2.2455543301316068E-3</v>
      </c>
      <c r="G8" s="220">
        <f t="shared" si="1"/>
        <v>50000</v>
      </c>
      <c r="H8" s="223">
        <f t="shared" si="2"/>
        <v>2.0148115242544823E-3</v>
      </c>
      <c r="I8" s="219" t="s">
        <v>245</v>
      </c>
      <c r="J8" s="225">
        <v>0.5</v>
      </c>
    </row>
    <row r="9" spans="1:25">
      <c r="A9" s="219" t="s">
        <v>248</v>
      </c>
      <c r="B9" s="220">
        <v>50000</v>
      </c>
      <c r="C9" s="221"/>
      <c r="D9" s="220"/>
      <c r="E9" s="221">
        <f t="shared" si="3"/>
        <v>50000</v>
      </c>
      <c r="F9" s="222">
        <f t="shared" si="0"/>
        <v>2.2455543301316068E-3</v>
      </c>
      <c r="G9" s="220">
        <f t="shared" si="1"/>
        <v>50000</v>
      </c>
      <c r="H9" s="223">
        <f t="shared" si="2"/>
        <v>2.0148115242544823E-3</v>
      </c>
      <c r="I9" s="219" t="s">
        <v>249</v>
      </c>
      <c r="J9" s="225">
        <v>0.5</v>
      </c>
    </row>
    <row r="10" spans="1:25" ht="12" customHeight="1">
      <c r="A10" s="219" t="s">
        <v>250</v>
      </c>
      <c r="B10" s="221">
        <f>SUM(B2:B9)</f>
        <v>10200000</v>
      </c>
      <c r="C10" s="221">
        <f>SUM(C2:C9)</f>
        <v>0</v>
      </c>
      <c r="D10" s="220"/>
      <c r="E10" s="221">
        <f t="shared" si="3"/>
        <v>10200000</v>
      </c>
      <c r="F10" s="222">
        <f t="shared" si="0"/>
        <v>0.45809308334684784</v>
      </c>
      <c r="G10" s="220">
        <f t="shared" si="1"/>
        <v>10200000</v>
      </c>
      <c r="H10" s="223">
        <f t="shared" si="2"/>
        <v>0.41102155094791443</v>
      </c>
      <c r="I10" s="219" t="s">
        <v>251</v>
      </c>
      <c r="J10" s="225">
        <v>0.5</v>
      </c>
    </row>
    <row r="11" spans="1:25">
      <c r="A11" s="219" t="s">
        <v>252</v>
      </c>
      <c r="B11" s="220">
        <v>50000</v>
      </c>
      <c r="C11" s="221"/>
      <c r="D11" s="220"/>
      <c r="E11" s="221">
        <f t="shared" si="3"/>
        <v>50000</v>
      </c>
      <c r="F11" s="222">
        <f t="shared" si="0"/>
        <v>2.2455543301316068E-3</v>
      </c>
      <c r="G11" s="220">
        <f t="shared" si="1"/>
        <v>50000</v>
      </c>
      <c r="H11" s="223">
        <f t="shared" si="2"/>
        <v>2.0148115242544823E-3</v>
      </c>
      <c r="I11" s="219" t="s">
        <v>253</v>
      </c>
      <c r="J11" s="225">
        <v>0.5</v>
      </c>
    </row>
    <row r="12" spans="1:25">
      <c r="A12" s="219" t="s">
        <v>254</v>
      </c>
      <c r="B12" s="220"/>
      <c r="C12" s="221">
        <f>50000</f>
        <v>50000</v>
      </c>
      <c r="D12" s="220"/>
      <c r="E12" s="221"/>
      <c r="F12" s="222"/>
      <c r="G12" s="220">
        <f t="shared" si="1"/>
        <v>50000</v>
      </c>
      <c r="H12" s="223">
        <f t="shared" si="2"/>
        <v>2.0148115242544823E-3</v>
      </c>
      <c r="I12" s="219" t="s">
        <v>255</v>
      </c>
      <c r="J12" s="225">
        <v>0.1</v>
      </c>
      <c r="K12" s="252">
        <f>J12*C12</f>
        <v>5000</v>
      </c>
    </row>
    <row r="13" spans="1:25">
      <c r="A13" s="219" t="s">
        <v>254</v>
      </c>
      <c r="B13" s="220"/>
      <c r="C13" s="221">
        <v>50000</v>
      </c>
      <c r="D13" s="220"/>
      <c r="E13" s="221"/>
      <c r="F13" s="222"/>
      <c r="G13" s="220">
        <f t="shared" si="1"/>
        <v>50000</v>
      </c>
      <c r="H13" s="223">
        <f t="shared" si="2"/>
        <v>2.0148115242544823E-3</v>
      </c>
      <c r="I13" s="226" t="s">
        <v>256</v>
      </c>
      <c r="J13" s="225">
        <v>0.5</v>
      </c>
      <c r="K13" s="252">
        <f t="shared" ref="K13:K16" si="4">J13*C13</f>
        <v>25000</v>
      </c>
    </row>
    <row r="14" spans="1:25">
      <c r="A14" s="227" t="s">
        <v>257</v>
      </c>
      <c r="B14" s="220"/>
      <c r="C14" s="221">
        <v>25000</v>
      </c>
      <c r="D14" s="220"/>
      <c r="E14" s="221"/>
      <c r="F14" s="222"/>
      <c r="G14" s="220">
        <f t="shared" si="1"/>
        <v>25000</v>
      </c>
      <c r="H14" s="223">
        <f t="shared" si="2"/>
        <v>1.0074057621272412E-3</v>
      </c>
      <c r="I14" s="219" t="s">
        <v>258</v>
      </c>
      <c r="J14" s="225">
        <v>0.25</v>
      </c>
      <c r="K14" s="252">
        <f t="shared" si="4"/>
        <v>6250</v>
      </c>
    </row>
    <row r="15" spans="1:25">
      <c r="A15" s="227" t="s">
        <v>259</v>
      </c>
      <c r="B15" s="220"/>
      <c r="C15" s="221">
        <v>25000</v>
      </c>
      <c r="D15" s="220"/>
      <c r="E15" s="221"/>
      <c r="F15" s="222"/>
      <c r="G15" s="220">
        <f t="shared" si="1"/>
        <v>25000</v>
      </c>
      <c r="H15" s="223">
        <f t="shared" si="2"/>
        <v>1.0074057621272412E-3</v>
      </c>
      <c r="I15" s="219" t="s">
        <v>258</v>
      </c>
      <c r="J15" s="225">
        <v>0.25</v>
      </c>
      <c r="K15" s="252">
        <f t="shared" si="4"/>
        <v>6250</v>
      </c>
    </row>
    <row r="16" spans="1:25">
      <c r="A16" s="219" t="s">
        <v>254</v>
      </c>
      <c r="B16" s="220"/>
      <c r="C16" s="221">
        <v>100000</v>
      </c>
      <c r="D16" s="220"/>
      <c r="E16" s="221"/>
      <c r="F16" s="222"/>
      <c r="G16" s="220">
        <f t="shared" si="1"/>
        <v>100000</v>
      </c>
      <c r="H16" s="223">
        <f t="shared" si="2"/>
        <v>4.0296230485089646E-3</v>
      </c>
      <c r="I16" s="219" t="s">
        <v>258</v>
      </c>
      <c r="J16" s="225">
        <v>0.25</v>
      </c>
      <c r="K16" s="252">
        <f t="shared" si="4"/>
        <v>25000</v>
      </c>
    </row>
    <row r="17" spans="1:12">
      <c r="A17" s="219" t="s">
        <v>260</v>
      </c>
      <c r="B17" s="220"/>
      <c r="C17" s="221">
        <v>25000</v>
      </c>
      <c r="D17" s="220"/>
      <c r="E17" s="221"/>
      <c r="F17" s="222"/>
      <c r="G17" s="220">
        <f t="shared" si="1"/>
        <v>25000</v>
      </c>
      <c r="H17" s="223">
        <f t="shared" si="2"/>
        <v>1.0074057621272412E-3</v>
      </c>
      <c r="I17" s="219"/>
      <c r="J17" s="225"/>
      <c r="K17" s="252">
        <f>SUM(K12:K16)</f>
        <v>67500</v>
      </c>
      <c r="L17" s="241">
        <f>SUM(C12:C16)</f>
        <v>250000</v>
      </c>
    </row>
    <row r="18" spans="1:12">
      <c r="A18" s="219" t="s">
        <v>261</v>
      </c>
      <c r="B18" s="220"/>
      <c r="C18" s="220"/>
      <c r="D18" s="220"/>
      <c r="E18" s="221"/>
      <c r="F18" s="222"/>
      <c r="G18" s="220"/>
      <c r="H18" s="223">
        <f t="shared" si="2"/>
        <v>0</v>
      </c>
      <c r="I18" s="219" t="s">
        <v>262</v>
      </c>
      <c r="J18" s="225"/>
      <c r="L18" s="252">
        <f>K17/L17</f>
        <v>0.27</v>
      </c>
    </row>
    <row r="19" spans="1:12">
      <c r="A19" s="219" t="str">
        <f>'Series A Holders'!A2</f>
        <v>Mimi 5 LLP</v>
      </c>
      <c r="B19" s="220"/>
      <c r="C19" s="220"/>
      <c r="D19" s="220">
        <f>'Series A Holders'!C2</f>
        <v>271077</v>
      </c>
      <c r="E19" s="221">
        <f t="shared" si="3"/>
        <v>271077</v>
      </c>
      <c r="F19" s="222">
        <f t="shared" ref="F19:F26" si="5">E19/$E$29</f>
        <v>1.2174362622981712E-2</v>
      </c>
      <c r="G19" s="220">
        <f>D19</f>
        <v>271077</v>
      </c>
      <c r="H19" s="223">
        <f t="shared" si="2"/>
        <v>1.0923381271206647E-2</v>
      </c>
      <c r="I19" s="228" t="s">
        <v>263</v>
      </c>
      <c r="J19" s="229">
        <v>0.36890000000000001</v>
      </c>
    </row>
    <row r="20" spans="1:12">
      <c r="A20" s="219" t="str">
        <f>'Series A Holders'!A3</f>
        <v>Puder Family Partnership No. 1, Ltd.</v>
      </c>
      <c r="B20" s="220"/>
      <c r="C20" s="220"/>
      <c r="D20" s="220">
        <f>'Series A Holders'!C3</f>
        <v>271077</v>
      </c>
      <c r="E20" s="221">
        <f t="shared" si="3"/>
        <v>271077</v>
      </c>
      <c r="F20" s="222">
        <f t="shared" si="5"/>
        <v>1.2174362622981712E-2</v>
      </c>
      <c r="G20" s="220">
        <f t="shared" ref="G20:G26" si="6">D20</f>
        <v>271077</v>
      </c>
      <c r="H20" s="223">
        <f t="shared" si="2"/>
        <v>1.0923381271206647E-2</v>
      </c>
      <c r="I20" s="228" t="s">
        <v>263</v>
      </c>
      <c r="J20" s="229">
        <v>0.36890000000000001</v>
      </c>
    </row>
    <row r="21" spans="1:12">
      <c r="A21" s="219" t="s">
        <v>264</v>
      </c>
      <c r="B21" s="220"/>
      <c r="C21" s="220"/>
      <c r="D21" s="220">
        <f>'Series A Holders'!C4</f>
        <v>271077</v>
      </c>
      <c r="E21" s="221">
        <f t="shared" si="3"/>
        <v>271077</v>
      </c>
      <c r="F21" s="222">
        <f t="shared" si="5"/>
        <v>1.2174362622981712E-2</v>
      </c>
      <c r="G21" s="220">
        <f t="shared" si="6"/>
        <v>271077</v>
      </c>
      <c r="H21" s="223">
        <f t="shared" si="2"/>
        <v>1.0923381271206647E-2</v>
      </c>
      <c r="I21" s="228" t="s">
        <v>263</v>
      </c>
      <c r="J21" s="229">
        <v>0.36890000000000001</v>
      </c>
    </row>
    <row r="22" spans="1:12">
      <c r="A22" s="219" t="s">
        <v>265</v>
      </c>
      <c r="B22" s="220"/>
      <c r="C22" s="220"/>
      <c r="D22" s="220">
        <f>'Series A Holders'!C5</f>
        <v>271077</v>
      </c>
      <c r="E22" s="221">
        <f t="shared" si="3"/>
        <v>271077</v>
      </c>
      <c r="F22" s="222">
        <f t="shared" si="5"/>
        <v>1.2174362622981712E-2</v>
      </c>
      <c r="G22" s="220">
        <f t="shared" si="6"/>
        <v>271077</v>
      </c>
      <c r="H22" s="223">
        <f t="shared" si="2"/>
        <v>1.0923381271206647E-2</v>
      </c>
      <c r="I22" s="228" t="s">
        <v>263</v>
      </c>
      <c r="J22" s="229">
        <v>0.36890000000000001</v>
      </c>
    </row>
    <row r="23" spans="1:12">
      <c r="A23" s="219" t="s">
        <v>266</v>
      </c>
      <c r="B23" s="220"/>
      <c r="C23" s="220"/>
      <c r="D23" s="220">
        <f>'Series A Holders'!C6</f>
        <v>271077</v>
      </c>
      <c r="E23" s="221">
        <f t="shared" si="3"/>
        <v>271077</v>
      </c>
      <c r="F23" s="222">
        <f t="shared" si="5"/>
        <v>1.2174362622981712E-2</v>
      </c>
      <c r="G23" s="220">
        <f t="shared" si="6"/>
        <v>271077</v>
      </c>
      <c r="H23" s="223">
        <f t="shared" si="2"/>
        <v>1.0923381271206647E-2</v>
      </c>
      <c r="I23" s="228" t="s">
        <v>263</v>
      </c>
      <c r="J23" s="229">
        <v>0.36890000000000001</v>
      </c>
    </row>
    <row r="24" spans="1:12">
      <c r="A24" s="219" t="s">
        <v>267</v>
      </c>
      <c r="B24" s="220"/>
      <c r="C24" s="220"/>
      <c r="D24" s="220">
        <f>'Series A Holders'!C7</f>
        <v>189754</v>
      </c>
      <c r="E24" s="221">
        <f t="shared" si="3"/>
        <v>189754</v>
      </c>
      <c r="F24" s="222">
        <f t="shared" si="5"/>
        <v>8.5220583271958597E-3</v>
      </c>
      <c r="G24" s="220">
        <f t="shared" si="6"/>
        <v>189754</v>
      </c>
      <c r="H24" s="223">
        <f t="shared" si="2"/>
        <v>7.6463709194677012E-3</v>
      </c>
      <c r="I24" s="228" t="s">
        <v>263</v>
      </c>
      <c r="J24" s="229">
        <v>0.36890000000000001</v>
      </c>
    </row>
    <row r="25" spans="1:12">
      <c r="A25" s="219" t="str">
        <f>'Series A Holders'!A8</f>
        <v>Edward Fentin</v>
      </c>
      <c r="B25" s="220"/>
      <c r="C25" s="220"/>
      <c r="D25" s="220">
        <f>'Series A Holders'!C8</f>
        <v>135539</v>
      </c>
      <c r="E25" s="221">
        <f t="shared" si="3"/>
        <v>135539</v>
      </c>
      <c r="F25" s="222">
        <f t="shared" si="5"/>
        <v>6.0872037670341578E-3</v>
      </c>
      <c r="G25" s="220">
        <f t="shared" si="6"/>
        <v>135539</v>
      </c>
      <c r="H25" s="223">
        <f t="shared" si="2"/>
        <v>5.4617107837185656E-3</v>
      </c>
      <c r="I25" s="228" t="s">
        <v>263</v>
      </c>
      <c r="J25" s="229">
        <v>0.36890000000000001</v>
      </c>
    </row>
    <row r="26" spans="1:12">
      <c r="A26" s="219" t="str">
        <f>'Series A Holders'!A9</f>
        <v>Peter Sherman</v>
      </c>
      <c r="B26" s="220"/>
      <c r="C26" s="220"/>
      <c r="D26" s="220">
        <f>'Series A Holders'!C9</f>
        <v>135539</v>
      </c>
      <c r="E26" s="221">
        <f t="shared" si="3"/>
        <v>135539</v>
      </c>
      <c r="F26" s="222">
        <f t="shared" si="5"/>
        <v>6.0872037670341578E-3</v>
      </c>
      <c r="G26" s="220">
        <f t="shared" si="6"/>
        <v>135539</v>
      </c>
      <c r="H26" s="223">
        <f t="shared" si="2"/>
        <v>5.4617107837185656E-3</v>
      </c>
      <c r="I26" s="228" t="s">
        <v>263</v>
      </c>
      <c r="J26" s="229">
        <v>0.36890000000000001</v>
      </c>
    </row>
    <row r="27" spans="1:12">
      <c r="A27" s="230"/>
      <c r="B27" s="220"/>
      <c r="C27" s="221"/>
      <c r="D27" s="220"/>
      <c r="E27" s="221"/>
      <c r="F27" s="221"/>
      <c r="G27" s="220"/>
      <c r="H27" s="223"/>
      <c r="I27" s="219"/>
      <c r="J27" s="225"/>
    </row>
    <row r="28" spans="1:12">
      <c r="A28" s="231" t="s">
        <v>268</v>
      </c>
      <c r="B28" s="220"/>
      <c r="C28" s="221">
        <f>2550000-SUM(C5:C27)</f>
        <v>2275000</v>
      </c>
      <c r="D28" s="232"/>
      <c r="E28" s="221"/>
      <c r="F28" s="221"/>
      <c r="G28" s="220">
        <f>SUM(B28:D28)</f>
        <v>2275000</v>
      </c>
      <c r="H28" s="223">
        <f>G28/$G$29</f>
        <v>9.1673924353578948E-2</v>
      </c>
      <c r="I28" s="219"/>
      <c r="J28" s="225"/>
    </row>
    <row r="29" spans="1:12" s="239" customFormat="1">
      <c r="A29" s="233" t="s">
        <v>6</v>
      </c>
      <c r="B29" s="234">
        <f t="shared" ref="B29:H29" si="7">SUM(B5:B28)</f>
        <v>20450000</v>
      </c>
      <c r="C29" s="235">
        <f t="shared" si="7"/>
        <v>2550000</v>
      </c>
      <c r="D29" s="235">
        <f t="shared" si="7"/>
        <v>1816217</v>
      </c>
      <c r="E29" s="235">
        <f t="shared" si="7"/>
        <v>22266217</v>
      </c>
      <c r="F29" s="236">
        <f t="shared" si="7"/>
        <v>0.99999999999999989</v>
      </c>
      <c r="G29" s="237">
        <f t="shared" si="7"/>
        <v>24816217</v>
      </c>
      <c r="H29" s="238">
        <f t="shared" si="7"/>
        <v>1</v>
      </c>
    </row>
    <row r="30" spans="1:12">
      <c r="B30" s="241"/>
      <c r="C30" s="241"/>
      <c r="D30" s="242" t="e">
        <f>D29*#REF!</f>
        <v>#REF!</v>
      </c>
    </row>
    <row r="31" spans="1:12" s="210" customFormat="1" ht="12.75" customHeight="1">
      <c r="A31" s="240"/>
      <c r="B31" s="243"/>
      <c r="C31" s="243"/>
      <c r="D31" s="243"/>
      <c r="E31" s="243"/>
      <c r="F31" s="243"/>
      <c r="G31" s="243"/>
      <c r="H31" s="243"/>
    </row>
    <row r="32" spans="1:12" ht="12.75" customHeight="1">
      <c r="A32" s="276" t="s">
        <v>269</v>
      </c>
      <c r="B32" s="277"/>
      <c r="C32" s="277"/>
      <c r="D32" s="277"/>
      <c r="E32" s="277"/>
      <c r="F32" s="277"/>
      <c r="G32" s="277"/>
      <c r="H32" s="277"/>
    </row>
    <row r="33" spans="2:7">
      <c r="B33" s="241"/>
      <c r="C33" s="241"/>
      <c r="E33" s="244"/>
      <c r="F33" s="244"/>
      <c r="G33" s="245"/>
    </row>
    <row r="34" spans="2:7">
      <c r="B34" s="241"/>
      <c r="C34" s="241"/>
      <c r="E34" s="246"/>
      <c r="F34" s="246"/>
      <c r="G34" s="245"/>
    </row>
    <row r="35" spans="2:7">
      <c r="B35" s="241"/>
      <c r="C35" s="241"/>
    </row>
    <row r="36" spans="2:7">
      <c r="B36" s="241"/>
      <c r="C36" s="241"/>
    </row>
    <row r="37" spans="2:7">
      <c r="B37" s="241"/>
      <c r="C37" s="241"/>
    </row>
    <row r="38" spans="2:7">
      <c r="B38" s="241"/>
      <c r="C38" s="241"/>
    </row>
    <row r="39" spans="2:7">
      <c r="B39" s="241"/>
      <c r="C39" s="241"/>
    </row>
    <row r="40" spans="2:7">
      <c r="B40" s="241"/>
      <c r="C40" s="241"/>
    </row>
    <row r="41" spans="2:7">
      <c r="B41" s="241"/>
      <c r="C41" s="241"/>
    </row>
    <row r="42" spans="2:7">
      <c r="B42" s="241"/>
      <c r="C42" s="241"/>
    </row>
    <row r="43" spans="2:7">
      <c r="B43" s="241"/>
      <c r="C43" s="241"/>
    </row>
    <row r="44" spans="2:7">
      <c r="B44" s="241"/>
      <c r="C44" s="241"/>
    </row>
    <row r="45" spans="2:7">
      <c r="B45" s="241"/>
      <c r="C45" s="241"/>
    </row>
    <row r="46" spans="2:7">
      <c r="B46" s="241"/>
      <c r="C46" s="241"/>
    </row>
    <row r="47" spans="2:7">
      <c r="B47" s="241"/>
      <c r="C47" s="241"/>
    </row>
    <row r="48" spans="2:7">
      <c r="B48" s="241"/>
      <c r="C48" s="241"/>
    </row>
    <row r="49" spans="2:3">
      <c r="B49" s="241"/>
      <c r="C49" s="241"/>
    </row>
    <row r="50" spans="2:3">
      <c r="B50" s="241"/>
      <c r="C50" s="241"/>
    </row>
    <row r="51" spans="2:3">
      <c r="B51" s="241"/>
      <c r="C51" s="241"/>
    </row>
    <row r="52" spans="2:3">
      <c r="B52" s="241"/>
      <c r="C52" s="241"/>
    </row>
    <row r="53" spans="2:3">
      <c r="B53" s="241"/>
      <c r="C53" s="241"/>
    </row>
    <row r="54" spans="2:3">
      <c r="B54" s="241"/>
      <c r="C54" s="241"/>
    </row>
    <row r="55" spans="2:3">
      <c r="B55" s="241"/>
      <c r="C55" s="241"/>
    </row>
    <row r="56" spans="2:3">
      <c r="B56" s="241"/>
      <c r="C56" s="241"/>
    </row>
    <row r="57" spans="2:3">
      <c r="B57" s="241"/>
      <c r="C57" s="241"/>
    </row>
    <row r="58" spans="2:3">
      <c r="B58" s="241"/>
      <c r="C58" s="241"/>
    </row>
    <row r="59" spans="2:3">
      <c r="B59" s="241"/>
      <c r="C59" s="241"/>
    </row>
    <row r="60" spans="2:3">
      <c r="B60" s="241"/>
      <c r="C60" s="241"/>
    </row>
    <row r="61" spans="2:3">
      <c r="B61" s="241"/>
      <c r="C61" s="241"/>
    </row>
    <row r="62" spans="2:3">
      <c r="B62" s="241"/>
      <c r="C62" s="241"/>
    </row>
    <row r="63" spans="2:3">
      <c r="B63" s="241"/>
      <c r="C63" s="241"/>
    </row>
    <row r="64" spans="2:3">
      <c r="B64" s="241"/>
      <c r="C64" s="241"/>
    </row>
    <row r="65" spans="2:3">
      <c r="B65" s="241"/>
      <c r="C65" s="241"/>
    </row>
    <row r="66" spans="2:3">
      <c r="B66" s="241"/>
      <c r="C66" s="241"/>
    </row>
    <row r="67" spans="2:3">
      <c r="B67" s="241"/>
      <c r="C67" s="241"/>
    </row>
    <row r="68" spans="2:3">
      <c r="B68" s="241"/>
      <c r="C68" s="241"/>
    </row>
    <row r="69" spans="2:3">
      <c r="B69" s="241"/>
      <c r="C69" s="241"/>
    </row>
    <row r="70" spans="2:3">
      <c r="B70" s="241"/>
      <c r="C70" s="241"/>
    </row>
    <row r="71" spans="2:3">
      <c r="B71" s="241"/>
      <c r="C71" s="241"/>
    </row>
    <row r="72" spans="2:3">
      <c r="B72" s="241"/>
      <c r="C72" s="241"/>
    </row>
    <row r="73" spans="2:3">
      <c r="B73" s="241"/>
      <c r="C73" s="241"/>
    </row>
    <row r="74" spans="2:3">
      <c r="B74" s="241"/>
      <c r="C74" s="241"/>
    </row>
    <row r="75" spans="2:3">
      <c r="B75" s="241"/>
      <c r="C75" s="241"/>
    </row>
    <row r="76" spans="2:3">
      <c r="B76" s="241"/>
      <c r="C76" s="241"/>
    </row>
    <row r="77" spans="2:3">
      <c r="B77" s="241"/>
      <c r="C77" s="241"/>
    </row>
    <row r="78" spans="2:3">
      <c r="B78" s="241"/>
      <c r="C78" s="241"/>
    </row>
    <row r="79" spans="2:3">
      <c r="B79" s="241"/>
      <c r="C79" s="241"/>
    </row>
    <row r="80" spans="2:3">
      <c r="B80" s="241"/>
      <c r="C80" s="241"/>
    </row>
    <row r="81" spans="2:3">
      <c r="B81" s="241"/>
      <c r="C81" s="241"/>
    </row>
    <row r="82" spans="2:3">
      <c r="B82" s="241"/>
      <c r="C82" s="241"/>
    </row>
    <row r="83" spans="2:3">
      <c r="B83" s="241"/>
      <c r="C83" s="241"/>
    </row>
    <row r="84" spans="2:3">
      <c r="B84" s="241"/>
      <c r="C84" s="241"/>
    </row>
    <row r="85" spans="2:3">
      <c r="B85" s="241"/>
      <c r="C85" s="241"/>
    </row>
    <row r="86" spans="2:3">
      <c r="B86" s="241"/>
      <c r="C86" s="241"/>
    </row>
    <row r="87" spans="2:3">
      <c r="B87" s="241"/>
      <c r="C87" s="241"/>
    </row>
    <row r="88" spans="2:3">
      <c r="B88" s="241"/>
      <c r="C88" s="241"/>
    </row>
    <row r="89" spans="2:3">
      <c r="B89" s="241"/>
      <c r="C89" s="241"/>
    </row>
    <row r="90" spans="2:3">
      <c r="B90" s="241"/>
      <c r="C90" s="241"/>
    </row>
    <row r="91" spans="2:3">
      <c r="B91" s="241"/>
      <c r="C91" s="241"/>
    </row>
    <row r="92" spans="2:3">
      <c r="B92" s="241"/>
      <c r="C92" s="241"/>
    </row>
    <row r="93" spans="2:3">
      <c r="B93" s="241"/>
      <c r="C93" s="241"/>
    </row>
    <row r="94" spans="2:3">
      <c r="B94" s="241"/>
      <c r="C94" s="241"/>
    </row>
    <row r="95" spans="2:3">
      <c r="B95" s="241"/>
      <c r="C95" s="241"/>
    </row>
    <row r="96" spans="2:3">
      <c r="B96" s="241"/>
      <c r="C96" s="241"/>
    </row>
    <row r="97" spans="2:3">
      <c r="B97" s="241"/>
      <c r="C97" s="241"/>
    </row>
    <row r="98" spans="2:3">
      <c r="B98" s="241"/>
      <c r="C98" s="241"/>
    </row>
    <row r="99" spans="2:3">
      <c r="B99" s="241"/>
      <c r="C99" s="241"/>
    </row>
    <row r="100" spans="2:3">
      <c r="B100" s="241"/>
      <c r="C100" s="241"/>
    </row>
    <row r="101" spans="2:3">
      <c r="B101" s="241"/>
      <c r="C101" s="241"/>
    </row>
    <row r="102" spans="2:3">
      <c r="B102" s="241"/>
      <c r="C102" s="241"/>
    </row>
    <row r="103" spans="2:3">
      <c r="B103" s="241"/>
      <c r="C103" s="241"/>
    </row>
    <row r="104" spans="2:3">
      <c r="B104" s="241"/>
      <c r="C104" s="241"/>
    </row>
    <row r="105" spans="2:3">
      <c r="B105" s="241"/>
      <c r="C105" s="241"/>
    </row>
    <row r="106" spans="2:3">
      <c r="B106" s="241"/>
      <c r="C106" s="241"/>
    </row>
    <row r="107" spans="2:3">
      <c r="B107" s="241"/>
      <c r="C107" s="241"/>
    </row>
    <row r="108" spans="2:3">
      <c r="B108" s="241"/>
      <c r="C108" s="241"/>
    </row>
    <row r="109" spans="2:3">
      <c r="B109" s="241"/>
      <c r="C109" s="241"/>
    </row>
    <row r="110" spans="2:3">
      <c r="B110" s="241"/>
      <c r="C110" s="241"/>
    </row>
    <row r="111" spans="2:3">
      <c r="B111" s="241"/>
      <c r="C111" s="241"/>
    </row>
    <row r="112" spans="2:3">
      <c r="B112" s="241"/>
      <c r="C112" s="241"/>
    </row>
    <row r="113" spans="2:3">
      <c r="B113" s="241"/>
      <c r="C113" s="241"/>
    </row>
    <row r="114" spans="2:3">
      <c r="B114" s="241"/>
      <c r="C114" s="241"/>
    </row>
    <row r="115" spans="2:3">
      <c r="B115" s="241"/>
      <c r="C115" s="241"/>
    </row>
    <row r="116" spans="2:3">
      <c r="B116" s="241"/>
      <c r="C116" s="241"/>
    </row>
    <row r="117" spans="2:3">
      <c r="B117" s="241"/>
      <c r="C117" s="241"/>
    </row>
    <row r="118" spans="2:3">
      <c r="B118" s="241"/>
      <c r="C118" s="241"/>
    </row>
    <row r="119" spans="2:3">
      <c r="B119" s="241"/>
      <c r="C119" s="241"/>
    </row>
    <row r="120" spans="2:3">
      <c r="B120" s="241"/>
      <c r="C120" s="241"/>
    </row>
    <row r="121" spans="2:3">
      <c r="B121" s="241"/>
      <c r="C121" s="241"/>
    </row>
    <row r="122" spans="2:3">
      <c r="B122" s="241"/>
      <c r="C122" s="241"/>
    </row>
    <row r="123" spans="2:3">
      <c r="B123" s="241"/>
      <c r="C123" s="241"/>
    </row>
    <row r="124" spans="2:3">
      <c r="B124" s="241"/>
      <c r="C124" s="241"/>
    </row>
    <row r="125" spans="2:3">
      <c r="B125" s="241"/>
      <c r="C125" s="241"/>
    </row>
    <row r="126" spans="2:3">
      <c r="B126" s="241"/>
      <c r="C126" s="241"/>
    </row>
    <row r="127" spans="2:3">
      <c r="B127" s="241"/>
      <c r="C127" s="241"/>
    </row>
    <row r="128" spans="2:3">
      <c r="B128" s="241"/>
      <c r="C128" s="241"/>
    </row>
    <row r="129" spans="2:3">
      <c r="B129" s="241"/>
      <c r="C129" s="241"/>
    </row>
    <row r="130" spans="2:3">
      <c r="B130" s="241"/>
      <c r="C130" s="241"/>
    </row>
    <row r="131" spans="2:3">
      <c r="B131" s="241"/>
      <c r="C131" s="241"/>
    </row>
    <row r="132" spans="2:3">
      <c r="B132" s="241"/>
      <c r="C132" s="241"/>
    </row>
    <row r="133" spans="2:3">
      <c r="B133" s="241"/>
      <c r="C133" s="241"/>
    </row>
    <row r="134" spans="2:3">
      <c r="B134" s="241"/>
      <c r="C134" s="241"/>
    </row>
    <row r="135" spans="2:3">
      <c r="B135" s="241"/>
      <c r="C135" s="241"/>
    </row>
    <row r="136" spans="2:3">
      <c r="B136" s="241"/>
      <c r="C136" s="241"/>
    </row>
    <row r="137" spans="2:3">
      <c r="B137" s="241"/>
      <c r="C137" s="241"/>
    </row>
    <row r="138" spans="2:3">
      <c r="B138" s="241"/>
      <c r="C138" s="241"/>
    </row>
    <row r="139" spans="2:3">
      <c r="B139" s="241"/>
      <c r="C139" s="241"/>
    </row>
    <row r="140" spans="2:3">
      <c r="B140" s="241"/>
      <c r="C140" s="241"/>
    </row>
    <row r="141" spans="2:3">
      <c r="B141" s="241"/>
      <c r="C141" s="241"/>
    </row>
    <row r="142" spans="2:3">
      <c r="B142" s="241"/>
      <c r="C142" s="241"/>
    </row>
    <row r="143" spans="2:3">
      <c r="B143" s="241"/>
      <c r="C143" s="241"/>
    </row>
    <row r="144" spans="2:3">
      <c r="B144" s="241"/>
      <c r="C144" s="241"/>
    </row>
    <row r="145" spans="2:3">
      <c r="B145" s="241"/>
      <c r="C145" s="241"/>
    </row>
    <row r="146" spans="2:3">
      <c r="B146" s="241"/>
      <c r="C146" s="241"/>
    </row>
    <row r="147" spans="2:3">
      <c r="B147" s="241"/>
      <c r="C147" s="241"/>
    </row>
    <row r="148" spans="2:3">
      <c r="B148" s="241"/>
      <c r="C148" s="241"/>
    </row>
    <row r="149" spans="2:3">
      <c r="B149" s="241"/>
      <c r="C149" s="241"/>
    </row>
    <row r="150" spans="2:3">
      <c r="B150" s="241"/>
      <c r="C150" s="241"/>
    </row>
    <row r="151" spans="2:3">
      <c r="B151" s="241"/>
      <c r="C151" s="241"/>
    </row>
    <row r="152" spans="2:3">
      <c r="B152" s="241"/>
      <c r="C152" s="241"/>
    </row>
    <row r="153" spans="2:3">
      <c r="B153" s="241"/>
      <c r="C153" s="241"/>
    </row>
    <row r="154" spans="2:3">
      <c r="B154" s="241"/>
      <c r="C154" s="241"/>
    </row>
    <row r="155" spans="2:3">
      <c r="B155" s="241"/>
      <c r="C155" s="241"/>
    </row>
    <row r="156" spans="2:3">
      <c r="B156" s="241"/>
      <c r="C156" s="241"/>
    </row>
    <row r="157" spans="2:3">
      <c r="B157" s="241"/>
      <c r="C157" s="241"/>
    </row>
    <row r="158" spans="2:3">
      <c r="B158" s="241"/>
      <c r="C158" s="241"/>
    </row>
    <row r="159" spans="2:3">
      <c r="B159" s="241"/>
      <c r="C159" s="241"/>
    </row>
    <row r="160" spans="2:3">
      <c r="B160" s="241"/>
      <c r="C160" s="241"/>
    </row>
    <row r="161" spans="2:3">
      <c r="B161" s="241"/>
      <c r="C161" s="241"/>
    </row>
    <row r="162" spans="2:3">
      <c r="B162" s="241"/>
      <c r="C162" s="241"/>
    </row>
    <row r="163" spans="2:3">
      <c r="B163" s="241"/>
      <c r="C163" s="241"/>
    </row>
    <row r="164" spans="2:3">
      <c r="B164" s="241"/>
      <c r="C164" s="241"/>
    </row>
    <row r="165" spans="2:3">
      <c r="B165" s="241"/>
      <c r="C165" s="241"/>
    </row>
    <row r="166" spans="2:3">
      <c r="B166" s="241"/>
      <c r="C166" s="241"/>
    </row>
    <row r="167" spans="2:3">
      <c r="B167" s="241"/>
      <c r="C167" s="241"/>
    </row>
    <row r="168" spans="2:3">
      <c r="B168" s="241"/>
      <c r="C168" s="241"/>
    </row>
    <row r="169" spans="2:3">
      <c r="B169" s="241"/>
      <c r="C169" s="241"/>
    </row>
    <row r="170" spans="2:3">
      <c r="B170" s="241"/>
      <c r="C170" s="241"/>
    </row>
    <row r="171" spans="2:3">
      <c r="B171" s="241"/>
      <c r="C171" s="241"/>
    </row>
    <row r="172" spans="2:3">
      <c r="B172" s="241"/>
      <c r="C172" s="241"/>
    </row>
    <row r="173" spans="2:3">
      <c r="B173" s="241"/>
      <c r="C173" s="241"/>
    </row>
    <row r="174" spans="2:3">
      <c r="B174" s="241"/>
      <c r="C174" s="241"/>
    </row>
    <row r="175" spans="2:3">
      <c r="B175" s="241"/>
      <c r="C175" s="241"/>
    </row>
    <row r="176" spans="2:3">
      <c r="B176" s="241"/>
      <c r="C176" s="241"/>
    </row>
    <row r="177" spans="2:3">
      <c r="B177" s="241"/>
      <c r="C177" s="241"/>
    </row>
    <row r="178" spans="2:3">
      <c r="B178" s="241"/>
      <c r="C178" s="241"/>
    </row>
    <row r="179" spans="2:3">
      <c r="B179" s="241"/>
      <c r="C179" s="241"/>
    </row>
    <row r="180" spans="2:3">
      <c r="B180" s="241"/>
      <c r="C180" s="241"/>
    </row>
    <row r="181" spans="2:3">
      <c r="B181" s="241"/>
      <c r="C181" s="241"/>
    </row>
    <row r="182" spans="2:3">
      <c r="B182" s="241"/>
      <c r="C182" s="241"/>
    </row>
    <row r="183" spans="2:3">
      <c r="B183" s="241"/>
      <c r="C183" s="241"/>
    </row>
    <row r="184" spans="2:3">
      <c r="B184" s="241"/>
      <c r="C184" s="241"/>
    </row>
    <row r="185" spans="2:3">
      <c r="B185" s="241"/>
      <c r="C185" s="241"/>
    </row>
    <row r="186" spans="2:3">
      <c r="B186" s="241"/>
      <c r="C186" s="241"/>
    </row>
    <row r="187" spans="2:3">
      <c r="B187" s="241"/>
      <c r="C187" s="241"/>
    </row>
    <row r="188" spans="2:3">
      <c r="B188" s="241"/>
      <c r="C188" s="241"/>
    </row>
    <row r="189" spans="2:3">
      <c r="B189" s="241"/>
      <c r="C189" s="241"/>
    </row>
    <row r="190" spans="2:3">
      <c r="B190" s="241"/>
      <c r="C190" s="241"/>
    </row>
    <row r="191" spans="2:3">
      <c r="B191" s="241"/>
      <c r="C191" s="241"/>
    </row>
    <row r="192" spans="2:3">
      <c r="B192" s="241"/>
      <c r="C192" s="241"/>
    </row>
    <row r="193" spans="2:3">
      <c r="B193" s="241"/>
      <c r="C193" s="241"/>
    </row>
    <row r="194" spans="2:3">
      <c r="B194" s="241"/>
      <c r="C194" s="241"/>
    </row>
    <row r="195" spans="2:3">
      <c r="B195" s="241"/>
      <c r="C195" s="241"/>
    </row>
    <row r="196" spans="2:3">
      <c r="B196" s="241"/>
      <c r="C196" s="241"/>
    </row>
    <row r="197" spans="2:3">
      <c r="B197" s="241"/>
      <c r="C197" s="241"/>
    </row>
    <row r="198" spans="2:3">
      <c r="B198" s="241"/>
      <c r="C198" s="241"/>
    </row>
    <row r="199" spans="2:3">
      <c r="B199" s="241"/>
      <c r="C199" s="241"/>
    </row>
    <row r="200" spans="2:3">
      <c r="B200" s="241"/>
      <c r="C200" s="241"/>
    </row>
    <row r="201" spans="2:3">
      <c r="B201" s="241"/>
      <c r="C201" s="241"/>
    </row>
    <row r="202" spans="2:3">
      <c r="B202" s="241"/>
      <c r="C202" s="241"/>
    </row>
    <row r="203" spans="2:3">
      <c r="B203" s="241"/>
      <c r="C203" s="241"/>
    </row>
    <row r="204" spans="2:3">
      <c r="B204" s="241"/>
      <c r="C204" s="241"/>
    </row>
    <row r="205" spans="2:3">
      <c r="B205" s="241"/>
      <c r="C205" s="241"/>
    </row>
    <row r="206" spans="2:3">
      <c r="B206" s="241"/>
      <c r="C206" s="241"/>
    </row>
    <row r="207" spans="2:3">
      <c r="B207" s="241"/>
      <c r="C207" s="241"/>
    </row>
    <row r="208" spans="2:3">
      <c r="B208" s="241"/>
      <c r="C208" s="241"/>
    </row>
    <row r="209" spans="2:3">
      <c r="B209" s="241"/>
      <c r="C209" s="241"/>
    </row>
    <row r="210" spans="2:3">
      <c r="B210" s="241"/>
      <c r="C210" s="241"/>
    </row>
    <row r="211" spans="2:3">
      <c r="B211" s="241"/>
      <c r="C211" s="241"/>
    </row>
    <row r="212" spans="2:3">
      <c r="B212" s="241"/>
      <c r="C212" s="241"/>
    </row>
    <row r="213" spans="2:3">
      <c r="B213" s="241"/>
      <c r="C213" s="241"/>
    </row>
    <row r="214" spans="2:3">
      <c r="B214" s="241"/>
      <c r="C214" s="241"/>
    </row>
    <row r="215" spans="2:3">
      <c r="B215" s="241"/>
      <c r="C215" s="241"/>
    </row>
    <row r="216" spans="2:3">
      <c r="B216" s="241"/>
      <c r="C216" s="241"/>
    </row>
    <row r="217" spans="2:3">
      <c r="B217" s="241"/>
      <c r="C217" s="241"/>
    </row>
    <row r="218" spans="2:3">
      <c r="B218" s="241"/>
      <c r="C218" s="241"/>
    </row>
    <row r="219" spans="2:3">
      <c r="B219" s="241"/>
      <c r="C219" s="241"/>
    </row>
    <row r="220" spans="2:3">
      <c r="B220" s="241"/>
      <c r="C220" s="241"/>
    </row>
    <row r="221" spans="2:3">
      <c r="B221" s="241"/>
      <c r="C221" s="241"/>
    </row>
    <row r="222" spans="2:3">
      <c r="B222" s="241"/>
      <c r="C222" s="241"/>
    </row>
    <row r="223" spans="2:3">
      <c r="B223" s="241"/>
      <c r="C223" s="241"/>
    </row>
    <row r="224" spans="2:3">
      <c r="B224" s="241"/>
      <c r="C224" s="241"/>
    </row>
    <row r="225" spans="2:3">
      <c r="B225" s="241"/>
      <c r="C225" s="241"/>
    </row>
    <row r="226" spans="2:3">
      <c r="B226" s="241"/>
      <c r="C226" s="241"/>
    </row>
    <row r="227" spans="2:3">
      <c r="B227" s="241"/>
      <c r="C227" s="241"/>
    </row>
    <row r="228" spans="2:3">
      <c r="B228" s="241"/>
      <c r="C228" s="241"/>
    </row>
    <row r="229" spans="2:3">
      <c r="B229" s="241"/>
      <c r="C229" s="241"/>
    </row>
    <row r="230" spans="2:3">
      <c r="B230" s="241"/>
      <c r="C230" s="241"/>
    </row>
    <row r="231" spans="2:3">
      <c r="B231" s="241"/>
      <c r="C231" s="241"/>
    </row>
    <row r="232" spans="2:3">
      <c r="B232" s="241"/>
      <c r="C232" s="241"/>
    </row>
    <row r="233" spans="2:3">
      <c r="B233" s="241"/>
      <c r="C233" s="241"/>
    </row>
    <row r="234" spans="2:3">
      <c r="B234" s="241"/>
      <c r="C234" s="241"/>
    </row>
    <row r="235" spans="2:3">
      <c r="B235" s="241"/>
      <c r="C235" s="241"/>
    </row>
    <row r="236" spans="2:3">
      <c r="B236" s="241"/>
      <c r="C236" s="241"/>
    </row>
    <row r="237" spans="2:3">
      <c r="B237" s="241"/>
      <c r="C237" s="241"/>
    </row>
    <row r="238" spans="2:3">
      <c r="B238" s="241"/>
      <c r="C238" s="241"/>
    </row>
    <row r="239" spans="2:3">
      <c r="B239" s="241"/>
      <c r="C239" s="241"/>
    </row>
    <row r="240" spans="2:3">
      <c r="B240" s="241"/>
      <c r="C240" s="241"/>
    </row>
    <row r="241" spans="2:3">
      <c r="B241" s="241"/>
      <c r="C241" s="241"/>
    </row>
    <row r="242" spans="2:3">
      <c r="B242" s="241"/>
      <c r="C242" s="241"/>
    </row>
    <row r="243" spans="2:3">
      <c r="B243" s="241"/>
      <c r="C243" s="241"/>
    </row>
    <row r="244" spans="2:3">
      <c r="B244" s="241"/>
      <c r="C244" s="241"/>
    </row>
    <row r="245" spans="2:3">
      <c r="B245" s="241"/>
      <c r="C245" s="241"/>
    </row>
    <row r="246" spans="2:3">
      <c r="B246" s="241"/>
      <c r="C246" s="241"/>
    </row>
    <row r="247" spans="2:3">
      <c r="B247" s="241"/>
      <c r="C247" s="241"/>
    </row>
    <row r="248" spans="2:3">
      <c r="B248" s="241"/>
      <c r="C248" s="241"/>
    </row>
    <row r="249" spans="2:3">
      <c r="B249" s="241"/>
      <c r="C249" s="241"/>
    </row>
    <row r="250" spans="2:3">
      <c r="B250" s="241"/>
      <c r="C250" s="241"/>
    </row>
    <row r="251" spans="2:3">
      <c r="B251" s="241"/>
      <c r="C251" s="241"/>
    </row>
    <row r="252" spans="2:3">
      <c r="B252" s="241"/>
      <c r="C252" s="241"/>
    </row>
    <row r="253" spans="2:3">
      <c r="B253" s="241"/>
      <c r="C253" s="241"/>
    </row>
    <row r="254" spans="2:3">
      <c r="B254" s="241"/>
      <c r="C254" s="241"/>
    </row>
    <row r="255" spans="2:3">
      <c r="B255" s="241"/>
      <c r="C255" s="241"/>
    </row>
    <row r="256" spans="2:3">
      <c r="B256" s="241"/>
      <c r="C256" s="241"/>
    </row>
    <row r="257" spans="2:3">
      <c r="B257" s="241"/>
      <c r="C257" s="241"/>
    </row>
    <row r="258" spans="2:3">
      <c r="B258" s="241"/>
      <c r="C258" s="241"/>
    </row>
    <row r="259" spans="2:3">
      <c r="B259" s="241"/>
      <c r="C259" s="241"/>
    </row>
    <row r="260" spans="2:3">
      <c r="B260" s="241"/>
      <c r="C260" s="241"/>
    </row>
    <row r="261" spans="2:3">
      <c r="B261" s="241"/>
      <c r="C261" s="241"/>
    </row>
    <row r="262" spans="2:3">
      <c r="B262" s="241"/>
      <c r="C262" s="241"/>
    </row>
    <row r="263" spans="2:3">
      <c r="B263" s="241"/>
      <c r="C263" s="241"/>
    </row>
    <row r="264" spans="2:3">
      <c r="B264" s="241"/>
      <c r="C264" s="241"/>
    </row>
    <row r="265" spans="2:3">
      <c r="B265" s="241"/>
      <c r="C265" s="241"/>
    </row>
    <row r="266" spans="2:3">
      <c r="B266" s="241"/>
      <c r="C266" s="241"/>
    </row>
    <row r="267" spans="2:3">
      <c r="B267" s="241"/>
      <c r="C267" s="241"/>
    </row>
    <row r="268" spans="2:3">
      <c r="B268" s="241"/>
      <c r="C268" s="241"/>
    </row>
    <row r="269" spans="2:3">
      <c r="B269" s="241"/>
      <c r="C269" s="241"/>
    </row>
    <row r="270" spans="2:3">
      <c r="B270" s="241"/>
      <c r="C270" s="241"/>
    </row>
    <row r="271" spans="2:3">
      <c r="B271" s="241"/>
      <c r="C271" s="241"/>
    </row>
    <row r="272" spans="2:3">
      <c r="B272" s="241"/>
      <c r="C272" s="241"/>
    </row>
    <row r="273" spans="2:3">
      <c r="B273" s="241"/>
      <c r="C273" s="241"/>
    </row>
    <row r="274" spans="2:3">
      <c r="B274" s="241"/>
      <c r="C274" s="241"/>
    </row>
    <row r="275" spans="2:3">
      <c r="B275" s="241"/>
      <c r="C275" s="241"/>
    </row>
    <row r="276" spans="2:3">
      <c r="B276" s="241"/>
      <c r="C276" s="241"/>
    </row>
    <row r="277" spans="2:3">
      <c r="B277" s="241"/>
      <c r="C277" s="241"/>
    </row>
    <row r="278" spans="2:3">
      <c r="B278" s="241"/>
      <c r="C278" s="241"/>
    </row>
    <row r="279" spans="2:3">
      <c r="B279" s="241"/>
      <c r="C279" s="241"/>
    </row>
    <row r="280" spans="2:3">
      <c r="B280" s="241"/>
      <c r="C280" s="241"/>
    </row>
    <row r="281" spans="2:3">
      <c r="B281" s="241"/>
      <c r="C281" s="241"/>
    </row>
    <row r="282" spans="2:3">
      <c r="B282" s="241"/>
      <c r="C282" s="241"/>
    </row>
    <row r="283" spans="2:3">
      <c r="B283" s="241"/>
      <c r="C283" s="241"/>
    </row>
    <row r="284" spans="2:3">
      <c r="B284" s="241"/>
      <c r="C284" s="241"/>
    </row>
    <row r="285" spans="2:3">
      <c r="B285" s="241"/>
      <c r="C285" s="241"/>
    </row>
    <row r="286" spans="2:3">
      <c r="B286" s="241"/>
      <c r="C286" s="241"/>
    </row>
    <row r="287" spans="2:3">
      <c r="B287" s="241"/>
      <c r="C287" s="241"/>
    </row>
    <row r="288" spans="2:3">
      <c r="B288" s="241"/>
      <c r="C288" s="241"/>
    </row>
    <row r="289" spans="2:3">
      <c r="B289" s="241"/>
      <c r="C289" s="241"/>
    </row>
    <row r="290" spans="2:3">
      <c r="B290" s="241"/>
      <c r="C290" s="241"/>
    </row>
    <row r="291" spans="2:3">
      <c r="B291" s="241"/>
      <c r="C291" s="241"/>
    </row>
    <row r="292" spans="2:3">
      <c r="B292" s="241"/>
      <c r="C292" s="241"/>
    </row>
    <row r="293" spans="2:3">
      <c r="B293" s="241"/>
      <c r="C293" s="241"/>
    </row>
    <row r="294" spans="2:3">
      <c r="B294" s="241"/>
      <c r="C294" s="241"/>
    </row>
    <row r="295" spans="2:3">
      <c r="B295" s="241"/>
      <c r="C295" s="241"/>
    </row>
    <row r="296" spans="2:3">
      <c r="B296" s="241"/>
      <c r="C296" s="241"/>
    </row>
    <row r="297" spans="2:3">
      <c r="B297" s="241"/>
      <c r="C297" s="241"/>
    </row>
    <row r="298" spans="2:3">
      <c r="B298" s="241"/>
      <c r="C298" s="241"/>
    </row>
    <row r="299" spans="2:3">
      <c r="B299" s="241"/>
      <c r="C299" s="241"/>
    </row>
    <row r="300" spans="2:3">
      <c r="B300" s="241"/>
      <c r="C300" s="241"/>
    </row>
    <row r="301" spans="2:3">
      <c r="B301" s="241"/>
      <c r="C301" s="241"/>
    </row>
    <row r="302" spans="2:3">
      <c r="B302" s="241"/>
      <c r="C302" s="241"/>
    </row>
    <row r="303" spans="2:3">
      <c r="B303" s="241"/>
      <c r="C303" s="241"/>
    </row>
    <row r="304" spans="2:3">
      <c r="B304" s="241"/>
      <c r="C304" s="241"/>
    </row>
    <row r="305" spans="2:3">
      <c r="B305" s="241"/>
      <c r="C305" s="241"/>
    </row>
    <row r="306" spans="2:3">
      <c r="B306" s="241"/>
      <c r="C306" s="241"/>
    </row>
    <row r="307" spans="2:3">
      <c r="B307" s="241"/>
      <c r="C307" s="241"/>
    </row>
    <row r="308" spans="2:3">
      <c r="B308" s="241"/>
      <c r="C308" s="241"/>
    </row>
    <row r="309" spans="2:3">
      <c r="B309" s="241"/>
      <c r="C309" s="241"/>
    </row>
    <row r="310" spans="2:3">
      <c r="B310" s="241"/>
      <c r="C310" s="241"/>
    </row>
    <row r="311" spans="2:3">
      <c r="B311" s="241"/>
      <c r="C311" s="241"/>
    </row>
    <row r="312" spans="2:3">
      <c r="B312" s="241"/>
      <c r="C312" s="241"/>
    </row>
    <row r="313" spans="2:3">
      <c r="B313" s="241"/>
      <c r="C313" s="241"/>
    </row>
    <row r="314" spans="2:3">
      <c r="B314" s="241"/>
      <c r="C314" s="241"/>
    </row>
    <row r="315" spans="2:3">
      <c r="B315" s="241"/>
      <c r="C315" s="241"/>
    </row>
    <row r="316" spans="2:3">
      <c r="B316" s="241"/>
      <c r="C316" s="241"/>
    </row>
    <row r="317" spans="2:3">
      <c r="B317" s="241"/>
      <c r="C317" s="241"/>
    </row>
    <row r="318" spans="2:3">
      <c r="B318" s="241"/>
      <c r="C318" s="241"/>
    </row>
    <row r="319" spans="2:3">
      <c r="B319" s="241"/>
      <c r="C319" s="241"/>
    </row>
    <row r="320" spans="2:3">
      <c r="B320" s="241"/>
      <c r="C320" s="241"/>
    </row>
    <row r="321" spans="2:3">
      <c r="B321" s="241"/>
      <c r="C321" s="241"/>
    </row>
    <row r="322" spans="2:3">
      <c r="B322" s="241"/>
      <c r="C322" s="241"/>
    </row>
    <row r="323" spans="2:3">
      <c r="B323" s="241"/>
      <c r="C323" s="241"/>
    </row>
    <row r="324" spans="2:3">
      <c r="B324" s="241"/>
      <c r="C324" s="241"/>
    </row>
    <row r="325" spans="2:3">
      <c r="B325" s="241"/>
      <c r="C325" s="241"/>
    </row>
    <row r="326" spans="2:3">
      <c r="B326" s="241"/>
      <c r="C326" s="241"/>
    </row>
    <row r="327" spans="2:3">
      <c r="B327" s="241"/>
      <c r="C327" s="241"/>
    </row>
    <row r="328" spans="2:3">
      <c r="B328" s="241"/>
      <c r="C328" s="241"/>
    </row>
    <row r="329" spans="2:3">
      <c r="B329" s="241"/>
      <c r="C329" s="241"/>
    </row>
    <row r="330" spans="2:3">
      <c r="B330" s="241"/>
      <c r="C330" s="241"/>
    </row>
    <row r="331" spans="2:3">
      <c r="B331" s="241"/>
      <c r="C331" s="241"/>
    </row>
    <row r="332" spans="2:3">
      <c r="B332" s="241"/>
      <c r="C332" s="241"/>
    </row>
    <row r="333" spans="2:3">
      <c r="B333" s="241"/>
      <c r="C333" s="241"/>
    </row>
    <row r="334" spans="2:3">
      <c r="B334" s="241"/>
      <c r="C334" s="241"/>
    </row>
    <row r="335" spans="2:3">
      <c r="B335" s="241"/>
      <c r="C335" s="241"/>
    </row>
    <row r="336" spans="2:3">
      <c r="B336" s="241"/>
      <c r="C336" s="241"/>
    </row>
    <row r="337" spans="2:3">
      <c r="B337" s="241"/>
      <c r="C337" s="241"/>
    </row>
    <row r="338" spans="2:3">
      <c r="B338" s="241"/>
      <c r="C338" s="241"/>
    </row>
    <row r="339" spans="2:3">
      <c r="B339" s="241"/>
      <c r="C339" s="241"/>
    </row>
    <row r="340" spans="2:3">
      <c r="B340" s="241"/>
      <c r="C340" s="241"/>
    </row>
    <row r="341" spans="2:3">
      <c r="B341" s="241"/>
      <c r="C341" s="241"/>
    </row>
    <row r="342" spans="2:3">
      <c r="B342" s="241"/>
      <c r="C342" s="241"/>
    </row>
    <row r="343" spans="2:3">
      <c r="B343" s="241"/>
      <c r="C343" s="241"/>
    </row>
    <row r="344" spans="2:3">
      <c r="B344" s="241"/>
      <c r="C344" s="241"/>
    </row>
    <row r="345" spans="2:3">
      <c r="B345" s="241"/>
      <c r="C345" s="241"/>
    </row>
    <row r="346" spans="2:3">
      <c r="B346" s="241"/>
      <c r="C346" s="241"/>
    </row>
    <row r="347" spans="2:3">
      <c r="B347" s="241"/>
      <c r="C347" s="241"/>
    </row>
    <row r="348" spans="2:3">
      <c r="B348" s="241"/>
      <c r="C348" s="241"/>
    </row>
    <row r="349" spans="2:3">
      <c r="B349" s="241"/>
      <c r="C349" s="241"/>
    </row>
    <row r="350" spans="2:3">
      <c r="B350" s="241"/>
      <c r="C350" s="241"/>
    </row>
    <row r="351" spans="2:3">
      <c r="B351" s="241"/>
      <c r="C351" s="241"/>
    </row>
    <row r="352" spans="2:3">
      <c r="B352" s="241"/>
      <c r="C352" s="241"/>
    </row>
    <row r="353" spans="2:3">
      <c r="B353" s="241"/>
      <c r="C353" s="241"/>
    </row>
    <row r="354" spans="2:3">
      <c r="B354" s="241"/>
      <c r="C354" s="241"/>
    </row>
    <row r="355" spans="2:3">
      <c r="B355" s="241"/>
      <c r="C355" s="241"/>
    </row>
    <row r="356" spans="2:3">
      <c r="B356" s="241"/>
      <c r="C356" s="241"/>
    </row>
    <row r="357" spans="2:3">
      <c r="B357" s="241"/>
      <c r="C357" s="241"/>
    </row>
    <row r="358" spans="2:3">
      <c r="B358" s="241"/>
      <c r="C358" s="241"/>
    </row>
    <row r="359" spans="2:3">
      <c r="B359" s="241"/>
      <c r="C359" s="241"/>
    </row>
    <row r="360" spans="2:3">
      <c r="B360" s="241"/>
      <c r="C360" s="241"/>
    </row>
    <row r="361" spans="2:3">
      <c r="B361" s="241"/>
      <c r="C361" s="241"/>
    </row>
    <row r="362" spans="2:3">
      <c r="B362" s="241"/>
      <c r="C362" s="241"/>
    </row>
    <row r="363" spans="2:3">
      <c r="B363" s="241"/>
      <c r="C363" s="241"/>
    </row>
    <row r="364" spans="2:3">
      <c r="B364" s="241"/>
      <c r="C364" s="241"/>
    </row>
    <row r="365" spans="2:3">
      <c r="B365" s="241"/>
      <c r="C365" s="241"/>
    </row>
    <row r="366" spans="2:3">
      <c r="B366" s="241"/>
      <c r="C366" s="241"/>
    </row>
    <row r="367" spans="2:3">
      <c r="B367" s="241"/>
      <c r="C367" s="241"/>
    </row>
    <row r="368" spans="2:3">
      <c r="B368" s="241"/>
      <c r="C368" s="241"/>
    </row>
    <row r="369" spans="2:3">
      <c r="B369" s="241"/>
      <c r="C369" s="241"/>
    </row>
    <row r="370" spans="2:3">
      <c r="B370" s="241"/>
      <c r="C370" s="241"/>
    </row>
    <row r="371" spans="2:3">
      <c r="B371" s="241"/>
      <c r="C371" s="241"/>
    </row>
    <row r="372" spans="2:3">
      <c r="B372" s="241"/>
      <c r="C372" s="241"/>
    </row>
    <row r="373" spans="2:3">
      <c r="B373" s="241"/>
      <c r="C373" s="241"/>
    </row>
    <row r="374" spans="2:3">
      <c r="B374" s="241"/>
      <c r="C374" s="241"/>
    </row>
    <row r="375" spans="2:3">
      <c r="B375" s="241"/>
      <c r="C375" s="241"/>
    </row>
    <row r="376" spans="2:3">
      <c r="B376" s="241"/>
      <c r="C376" s="241"/>
    </row>
    <row r="377" spans="2:3">
      <c r="B377" s="241"/>
      <c r="C377" s="241"/>
    </row>
    <row r="378" spans="2:3">
      <c r="B378" s="241"/>
      <c r="C378" s="241"/>
    </row>
    <row r="379" spans="2:3">
      <c r="B379" s="241"/>
      <c r="C379" s="241"/>
    </row>
    <row r="380" spans="2:3">
      <c r="B380" s="241"/>
      <c r="C380" s="241"/>
    </row>
    <row r="381" spans="2:3">
      <c r="B381" s="241"/>
      <c r="C381" s="241"/>
    </row>
    <row r="382" spans="2:3">
      <c r="B382" s="241"/>
      <c r="C382" s="241"/>
    </row>
    <row r="383" spans="2:3">
      <c r="B383" s="241"/>
      <c r="C383" s="241"/>
    </row>
    <row r="384" spans="2:3">
      <c r="B384" s="241"/>
      <c r="C384" s="241"/>
    </row>
    <row r="385" spans="2:3">
      <c r="B385" s="241"/>
      <c r="C385" s="241"/>
    </row>
    <row r="386" spans="2:3">
      <c r="B386" s="241"/>
      <c r="C386" s="241"/>
    </row>
    <row r="387" spans="2:3">
      <c r="B387" s="241"/>
      <c r="C387" s="241"/>
    </row>
    <row r="388" spans="2:3">
      <c r="B388" s="241"/>
      <c r="C388" s="241"/>
    </row>
    <row r="389" spans="2:3">
      <c r="B389" s="241"/>
      <c r="C389" s="241"/>
    </row>
    <row r="390" spans="2:3">
      <c r="B390" s="241"/>
      <c r="C390" s="241"/>
    </row>
    <row r="391" spans="2:3">
      <c r="B391" s="241"/>
      <c r="C391" s="241"/>
    </row>
    <row r="392" spans="2:3">
      <c r="B392" s="241"/>
      <c r="C392" s="241"/>
    </row>
    <row r="393" spans="2:3">
      <c r="B393" s="241"/>
      <c r="C393" s="241"/>
    </row>
    <row r="394" spans="2:3">
      <c r="B394" s="241"/>
      <c r="C394" s="241"/>
    </row>
    <row r="395" spans="2:3">
      <c r="B395" s="241"/>
      <c r="C395" s="241"/>
    </row>
    <row r="396" spans="2:3">
      <c r="B396" s="241"/>
      <c r="C396" s="241"/>
    </row>
    <row r="397" spans="2:3">
      <c r="B397" s="241"/>
      <c r="C397" s="241"/>
    </row>
    <row r="398" spans="2:3">
      <c r="B398" s="241"/>
      <c r="C398" s="241"/>
    </row>
    <row r="399" spans="2:3">
      <c r="B399" s="241"/>
      <c r="C399" s="241"/>
    </row>
    <row r="400" spans="2:3">
      <c r="B400" s="241"/>
      <c r="C400" s="241"/>
    </row>
    <row r="401" spans="2:3">
      <c r="B401" s="241"/>
      <c r="C401" s="241"/>
    </row>
    <row r="402" spans="2:3">
      <c r="B402" s="241"/>
      <c r="C402" s="241"/>
    </row>
    <row r="403" spans="2:3">
      <c r="B403" s="241"/>
      <c r="C403" s="241"/>
    </row>
    <row r="404" spans="2:3">
      <c r="B404" s="241"/>
      <c r="C404" s="241"/>
    </row>
    <row r="405" spans="2:3">
      <c r="B405" s="241"/>
      <c r="C405" s="241"/>
    </row>
    <row r="406" spans="2:3">
      <c r="B406" s="241"/>
      <c r="C406" s="241"/>
    </row>
    <row r="407" spans="2:3">
      <c r="B407" s="241"/>
      <c r="C407" s="241"/>
    </row>
    <row r="408" spans="2:3">
      <c r="B408" s="241"/>
      <c r="C408" s="241"/>
    </row>
    <row r="409" spans="2:3">
      <c r="B409" s="241"/>
      <c r="C409" s="241"/>
    </row>
    <row r="410" spans="2:3">
      <c r="B410" s="241"/>
      <c r="C410" s="241"/>
    </row>
    <row r="411" spans="2:3">
      <c r="B411" s="241"/>
      <c r="C411" s="241"/>
    </row>
    <row r="412" spans="2:3">
      <c r="B412" s="241"/>
      <c r="C412" s="241"/>
    </row>
    <row r="413" spans="2:3">
      <c r="B413" s="241"/>
      <c r="C413" s="241"/>
    </row>
    <row r="414" spans="2:3">
      <c r="B414" s="241"/>
      <c r="C414" s="241"/>
    </row>
    <row r="415" spans="2:3">
      <c r="B415" s="241"/>
      <c r="C415" s="241"/>
    </row>
    <row r="416" spans="2:3">
      <c r="B416" s="241"/>
      <c r="C416" s="241"/>
    </row>
    <row r="417" spans="2:3">
      <c r="B417" s="241"/>
      <c r="C417" s="241"/>
    </row>
    <row r="418" spans="2:3">
      <c r="B418" s="241"/>
      <c r="C418" s="241"/>
    </row>
    <row r="419" spans="2:3">
      <c r="B419" s="241"/>
      <c r="C419" s="241"/>
    </row>
    <row r="420" spans="2:3">
      <c r="B420" s="241"/>
      <c r="C420" s="241"/>
    </row>
    <row r="421" spans="2:3">
      <c r="B421" s="241"/>
      <c r="C421" s="241"/>
    </row>
    <row r="422" spans="2:3">
      <c r="B422" s="241"/>
      <c r="C422" s="241"/>
    </row>
    <row r="423" spans="2:3">
      <c r="B423" s="241"/>
      <c r="C423" s="241"/>
    </row>
    <row r="424" spans="2:3">
      <c r="B424" s="241"/>
      <c r="C424" s="241"/>
    </row>
    <row r="425" spans="2:3">
      <c r="B425" s="241"/>
      <c r="C425" s="241"/>
    </row>
    <row r="426" spans="2:3">
      <c r="B426" s="241"/>
      <c r="C426" s="241"/>
    </row>
    <row r="427" spans="2:3">
      <c r="B427" s="241"/>
      <c r="C427" s="241"/>
    </row>
    <row r="428" spans="2:3">
      <c r="B428" s="241"/>
      <c r="C428" s="241"/>
    </row>
    <row r="429" spans="2:3">
      <c r="B429" s="241"/>
      <c r="C429" s="241"/>
    </row>
    <row r="430" spans="2:3">
      <c r="B430" s="241"/>
      <c r="C430" s="241"/>
    </row>
    <row r="431" spans="2:3">
      <c r="B431" s="241"/>
      <c r="C431" s="241"/>
    </row>
    <row r="432" spans="2:3">
      <c r="B432" s="241"/>
      <c r="C432" s="241"/>
    </row>
    <row r="433" spans="2:3">
      <c r="B433" s="241"/>
      <c r="C433" s="241"/>
    </row>
    <row r="434" spans="2:3">
      <c r="B434" s="241"/>
      <c r="C434" s="241"/>
    </row>
    <row r="435" spans="2:3">
      <c r="B435" s="241"/>
      <c r="C435" s="241"/>
    </row>
    <row r="436" spans="2:3">
      <c r="B436" s="241"/>
      <c r="C436" s="241"/>
    </row>
    <row r="437" spans="2:3">
      <c r="B437" s="241"/>
      <c r="C437" s="241"/>
    </row>
    <row r="438" spans="2:3">
      <c r="B438" s="241"/>
      <c r="C438" s="241"/>
    </row>
    <row r="439" spans="2:3">
      <c r="B439" s="241"/>
      <c r="C439" s="241"/>
    </row>
    <row r="440" spans="2:3">
      <c r="B440" s="241"/>
      <c r="C440" s="241"/>
    </row>
    <row r="441" spans="2:3">
      <c r="B441" s="241"/>
      <c r="C441" s="241"/>
    </row>
    <row r="442" spans="2:3">
      <c r="B442" s="241"/>
      <c r="C442" s="241"/>
    </row>
    <row r="443" spans="2:3">
      <c r="B443" s="241"/>
      <c r="C443" s="241"/>
    </row>
    <row r="444" spans="2:3">
      <c r="B444" s="241"/>
      <c r="C444" s="241"/>
    </row>
    <row r="445" spans="2:3">
      <c r="B445" s="241"/>
      <c r="C445" s="241"/>
    </row>
    <row r="446" spans="2:3">
      <c r="B446" s="241"/>
      <c r="C446" s="241"/>
    </row>
    <row r="447" spans="2:3">
      <c r="B447" s="241"/>
      <c r="C447" s="241"/>
    </row>
    <row r="448" spans="2:3">
      <c r="B448" s="241"/>
      <c r="C448" s="241"/>
    </row>
    <row r="449" spans="2:3">
      <c r="B449" s="241"/>
      <c r="C449" s="241"/>
    </row>
    <row r="450" spans="2:3">
      <c r="B450" s="241"/>
      <c r="C450" s="241"/>
    </row>
    <row r="451" spans="2:3">
      <c r="B451" s="241"/>
      <c r="C451" s="241"/>
    </row>
    <row r="452" spans="2:3">
      <c r="B452" s="241"/>
      <c r="C452" s="241"/>
    </row>
    <row r="453" spans="2:3">
      <c r="B453" s="241"/>
      <c r="C453" s="241"/>
    </row>
    <row r="454" spans="2:3">
      <c r="B454" s="241"/>
      <c r="C454" s="241"/>
    </row>
    <row r="455" spans="2:3">
      <c r="B455" s="241"/>
      <c r="C455" s="241"/>
    </row>
    <row r="456" spans="2:3">
      <c r="B456" s="241"/>
      <c r="C456" s="241"/>
    </row>
    <row r="457" spans="2:3">
      <c r="B457" s="241"/>
      <c r="C457" s="241"/>
    </row>
    <row r="458" spans="2:3">
      <c r="B458" s="241"/>
      <c r="C458" s="241"/>
    </row>
    <row r="459" spans="2:3">
      <c r="B459" s="241"/>
      <c r="C459" s="241"/>
    </row>
    <row r="460" spans="2:3">
      <c r="B460" s="241"/>
      <c r="C460" s="241"/>
    </row>
    <row r="461" spans="2:3">
      <c r="B461" s="241"/>
      <c r="C461" s="241"/>
    </row>
    <row r="462" spans="2:3">
      <c r="B462" s="241"/>
      <c r="C462" s="241"/>
    </row>
    <row r="463" spans="2:3">
      <c r="B463" s="241"/>
      <c r="C463" s="241"/>
    </row>
    <row r="464" spans="2:3">
      <c r="B464" s="241"/>
      <c r="C464" s="241"/>
    </row>
    <row r="465" spans="2:3">
      <c r="B465" s="241"/>
      <c r="C465" s="241"/>
    </row>
    <row r="466" spans="2:3">
      <c r="B466" s="241"/>
      <c r="C466" s="241"/>
    </row>
    <row r="467" spans="2:3">
      <c r="B467" s="241"/>
      <c r="C467" s="241"/>
    </row>
    <row r="468" spans="2:3">
      <c r="B468" s="241"/>
      <c r="C468" s="241"/>
    </row>
    <row r="469" spans="2:3">
      <c r="B469" s="241"/>
      <c r="C469" s="241"/>
    </row>
    <row r="470" spans="2:3">
      <c r="B470" s="241"/>
      <c r="C470" s="241"/>
    </row>
    <row r="471" spans="2:3">
      <c r="B471" s="241"/>
      <c r="C471" s="241"/>
    </row>
    <row r="472" spans="2:3">
      <c r="B472" s="241"/>
      <c r="C472" s="241"/>
    </row>
    <row r="473" spans="2:3">
      <c r="B473" s="241"/>
      <c r="C473" s="241"/>
    </row>
    <row r="474" spans="2:3">
      <c r="B474" s="241"/>
      <c r="C474" s="241"/>
    </row>
    <row r="475" spans="2:3">
      <c r="B475" s="241"/>
      <c r="C475" s="241"/>
    </row>
    <row r="476" spans="2:3">
      <c r="B476" s="241"/>
      <c r="C476" s="241"/>
    </row>
    <row r="477" spans="2:3">
      <c r="B477" s="241"/>
      <c r="C477" s="241"/>
    </row>
    <row r="478" spans="2:3">
      <c r="B478" s="241"/>
      <c r="C478" s="241"/>
    </row>
    <row r="479" spans="2:3">
      <c r="B479" s="241"/>
      <c r="C479" s="241"/>
    </row>
    <row r="480" spans="2:3">
      <c r="B480" s="241"/>
      <c r="C480" s="241"/>
    </row>
    <row r="481" spans="2:3">
      <c r="B481" s="241"/>
      <c r="C481" s="241"/>
    </row>
    <row r="482" spans="2:3">
      <c r="B482" s="241"/>
      <c r="C482" s="241"/>
    </row>
    <row r="483" spans="2:3">
      <c r="B483" s="241"/>
      <c r="C483" s="241"/>
    </row>
    <row r="484" spans="2:3">
      <c r="B484" s="241"/>
      <c r="C484" s="241"/>
    </row>
    <row r="485" spans="2:3">
      <c r="B485" s="241"/>
      <c r="C485" s="241"/>
    </row>
    <row r="486" spans="2:3">
      <c r="B486" s="241"/>
      <c r="C486" s="241"/>
    </row>
    <row r="487" spans="2:3">
      <c r="B487" s="241"/>
      <c r="C487" s="241"/>
    </row>
    <row r="488" spans="2:3">
      <c r="B488" s="241"/>
      <c r="C488" s="241"/>
    </row>
    <row r="489" spans="2:3">
      <c r="B489" s="241"/>
      <c r="C489" s="241"/>
    </row>
    <row r="490" spans="2:3">
      <c r="B490" s="241"/>
      <c r="C490" s="241"/>
    </row>
    <row r="491" spans="2:3">
      <c r="B491" s="241"/>
      <c r="C491" s="241"/>
    </row>
    <row r="492" spans="2:3">
      <c r="B492" s="241"/>
      <c r="C492" s="241"/>
    </row>
    <row r="493" spans="2:3">
      <c r="B493" s="241"/>
      <c r="C493" s="241"/>
    </row>
    <row r="494" spans="2:3">
      <c r="B494" s="241"/>
      <c r="C494" s="241"/>
    </row>
    <row r="495" spans="2:3">
      <c r="B495" s="241"/>
      <c r="C495" s="241"/>
    </row>
    <row r="496" spans="2:3">
      <c r="B496" s="241"/>
      <c r="C496" s="241"/>
    </row>
    <row r="497" spans="2:3">
      <c r="B497" s="241"/>
      <c r="C497" s="241"/>
    </row>
    <row r="498" spans="2:3">
      <c r="B498" s="241"/>
      <c r="C498" s="241"/>
    </row>
    <row r="499" spans="2:3">
      <c r="B499" s="241"/>
      <c r="C499" s="241"/>
    </row>
    <row r="500" spans="2:3">
      <c r="B500" s="241"/>
      <c r="C500" s="241"/>
    </row>
    <row r="501" spans="2:3">
      <c r="B501" s="241"/>
      <c r="C501" s="241"/>
    </row>
    <row r="502" spans="2:3">
      <c r="B502" s="241"/>
      <c r="C502" s="241"/>
    </row>
    <row r="503" spans="2:3">
      <c r="B503" s="241"/>
      <c r="C503" s="241"/>
    </row>
    <row r="504" spans="2:3">
      <c r="B504" s="241"/>
      <c r="C504" s="241"/>
    </row>
    <row r="505" spans="2:3">
      <c r="B505" s="241"/>
      <c r="C505" s="241"/>
    </row>
    <row r="506" spans="2:3">
      <c r="B506" s="241"/>
      <c r="C506" s="241"/>
    </row>
    <row r="507" spans="2:3">
      <c r="B507" s="241"/>
      <c r="C507" s="241"/>
    </row>
    <row r="508" spans="2:3">
      <c r="B508" s="241"/>
      <c r="C508" s="241"/>
    </row>
    <row r="509" spans="2:3">
      <c r="B509" s="241"/>
      <c r="C509" s="241"/>
    </row>
    <row r="510" spans="2:3">
      <c r="B510" s="241"/>
      <c r="C510" s="241"/>
    </row>
    <row r="511" spans="2:3">
      <c r="B511" s="241"/>
      <c r="C511" s="241"/>
    </row>
    <row r="512" spans="2:3">
      <c r="B512" s="241"/>
      <c r="C512" s="241"/>
    </row>
    <row r="513" spans="2:3">
      <c r="B513" s="241"/>
      <c r="C513" s="241"/>
    </row>
    <row r="514" spans="2:3">
      <c r="B514" s="241"/>
      <c r="C514" s="241"/>
    </row>
    <row r="515" spans="2:3">
      <c r="B515" s="241"/>
      <c r="C515" s="241"/>
    </row>
    <row r="516" spans="2:3">
      <c r="B516" s="241"/>
      <c r="C516" s="241"/>
    </row>
    <row r="517" spans="2:3">
      <c r="B517" s="241"/>
      <c r="C517" s="241"/>
    </row>
    <row r="518" spans="2:3">
      <c r="B518" s="241"/>
      <c r="C518" s="241"/>
    </row>
    <row r="519" spans="2:3">
      <c r="B519" s="241"/>
      <c r="C519" s="241"/>
    </row>
    <row r="520" spans="2:3">
      <c r="B520" s="241"/>
      <c r="C520" s="241"/>
    </row>
    <row r="521" spans="2:3">
      <c r="B521" s="241"/>
      <c r="C521" s="241"/>
    </row>
    <row r="522" spans="2:3">
      <c r="B522" s="241"/>
      <c r="C522" s="241"/>
    </row>
    <row r="523" spans="2:3">
      <c r="B523" s="241"/>
      <c r="C523" s="241"/>
    </row>
    <row r="524" spans="2:3">
      <c r="B524" s="241"/>
      <c r="C524" s="241"/>
    </row>
    <row r="525" spans="2:3">
      <c r="B525" s="241"/>
      <c r="C525" s="241"/>
    </row>
    <row r="526" spans="2:3">
      <c r="B526" s="241"/>
      <c r="C526" s="241"/>
    </row>
    <row r="527" spans="2:3">
      <c r="B527" s="241"/>
      <c r="C527" s="241"/>
    </row>
    <row r="528" spans="2:3">
      <c r="B528" s="241"/>
      <c r="C528" s="241"/>
    </row>
    <row r="529" spans="2:3">
      <c r="B529" s="241"/>
      <c r="C529" s="241"/>
    </row>
    <row r="530" spans="2:3">
      <c r="B530" s="241"/>
      <c r="C530" s="241"/>
    </row>
    <row r="531" spans="2:3">
      <c r="B531" s="241"/>
      <c r="C531" s="241"/>
    </row>
    <row r="532" spans="2:3">
      <c r="B532" s="241"/>
      <c r="C532" s="241"/>
    </row>
    <row r="533" spans="2:3">
      <c r="B533" s="241"/>
      <c r="C533" s="241"/>
    </row>
    <row r="534" spans="2:3">
      <c r="B534" s="241"/>
      <c r="C534" s="241"/>
    </row>
    <row r="535" spans="2:3">
      <c r="B535" s="241"/>
      <c r="C535" s="241"/>
    </row>
    <row r="536" spans="2:3">
      <c r="B536" s="241"/>
      <c r="C536" s="241"/>
    </row>
    <row r="537" spans="2:3">
      <c r="B537" s="241"/>
      <c r="C537" s="241"/>
    </row>
    <row r="538" spans="2:3">
      <c r="B538" s="241"/>
      <c r="C538" s="241"/>
    </row>
    <row r="539" spans="2:3">
      <c r="B539" s="241"/>
      <c r="C539" s="241"/>
    </row>
    <row r="540" spans="2:3">
      <c r="B540" s="241"/>
      <c r="C540" s="241"/>
    </row>
    <row r="541" spans="2:3">
      <c r="B541" s="241"/>
      <c r="C541" s="241"/>
    </row>
    <row r="542" spans="2:3">
      <c r="B542" s="241"/>
      <c r="C542" s="241"/>
    </row>
    <row r="543" spans="2:3">
      <c r="B543" s="241"/>
      <c r="C543" s="241"/>
    </row>
    <row r="544" spans="2:3">
      <c r="B544" s="241"/>
      <c r="C544" s="241"/>
    </row>
    <row r="545" spans="2:3">
      <c r="B545" s="241"/>
      <c r="C545" s="241"/>
    </row>
    <row r="546" spans="2:3">
      <c r="B546" s="241"/>
      <c r="C546" s="241"/>
    </row>
    <row r="547" spans="2:3">
      <c r="B547" s="241"/>
      <c r="C547" s="241"/>
    </row>
    <row r="548" spans="2:3">
      <c r="B548" s="241"/>
      <c r="C548" s="241"/>
    </row>
    <row r="549" spans="2:3">
      <c r="B549" s="241"/>
      <c r="C549" s="241"/>
    </row>
    <row r="550" spans="2:3">
      <c r="B550" s="241"/>
      <c r="C550" s="241"/>
    </row>
    <row r="551" spans="2:3">
      <c r="B551" s="241"/>
      <c r="C551" s="241"/>
    </row>
    <row r="552" spans="2:3">
      <c r="B552" s="241"/>
      <c r="C552" s="241"/>
    </row>
  </sheetData>
  <mergeCells count="2">
    <mergeCell ref="A2:J2"/>
    <mergeCell ref="A32:H32"/>
  </mergeCells>
  <pageMargins left="0.75" right="0.75" top="0.25" bottom="0.25" header="0.5" footer="0.5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3300"/>
    <pageSetUpPr autoPageBreaks="0" fitToPage="1"/>
  </sheetPr>
  <dimension ref="A1:P61"/>
  <sheetViews>
    <sheetView showGridLines="0" topLeftCell="A14" workbookViewId="0">
      <selection activeCell="K36" sqref="K36"/>
    </sheetView>
  </sheetViews>
  <sheetFormatPr defaultColWidth="9.109375" defaultRowHeight="13.8"/>
  <cols>
    <col min="1" max="1" width="5.6640625" style="4" customWidth="1"/>
    <col min="2" max="4" width="2.6640625" style="3" customWidth="1"/>
    <col min="5" max="8" width="9.109375" style="3"/>
    <col min="9" max="16" width="11.6640625" style="3" customWidth="1"/>
    <col min="17" max="16384" width="9.109375" style="3"/>
  </cols>
  <sheetData>
    <row r="1" spans="1:16">
      <c r="B1" s="29"/>
    </row>
    <row r="2" spans="1:16">
      <c r="A2" s="1"/>
      <c r="B2" s="115" t="str">
        <f>"Depreciation Schedule for "&amp;Inputs!D5</f>
        <v>Depreciation Schedule for ACME, Inc.</v>
      </c>
      <c r="C2" s="36"/>
      <c r="D2" s="36"/>
      <c r="E2" s="36"/>
      <c r="F2" s="36"/>
      <c r="G2" s="36"/>
      <c r="H2" s="36"/>
      <c r="I2" s="50"/>
      <c r="J2" s="50"/>
      <c r="K2" s="116"/>
      <c r="L2" s="51" t="str">
        <f>"Projections ending "&amp;TEXT(Inputs!D9,"mmm dd")&amp;","</f>
        <v>Projections ending Dec 31,</v>
      </c>
      <c r="M2" s="50"/>
      <c r="N2" s="50"/>
      <c r="O2" s="50"/>
      <c r="P2" s="50"/>
    </row>
    <row r="3" spans="1:16">
      <c r="A3" s="1"/>
      <c r="B3" s="48" t="str">
        <f>Inputs!D8</f>
        <v>In thousands of dollars (000)</v>
      </c>
      <c r="C3" s="49"/>
      <c r="D3" s="49"/>
      <c r="E3" s="49"/>
      <c r="F3" s="49"/>
      <c r="G3" s="49"/>
      <c r="H3" s="49"/>
      <c r="I3" s="36">
        <f>J3-1</f>
        <v>2014</v>
      </c>
      <c r="J3" s="36">
        <f>K3-1</f>
        <v>2015</v>
      </c>
      <c r="K3" s="117">
        <f>Inputs!D6</f>
        <v>2016</v>
      </c>
      <c r="L3" s="89">
        <f>K3+1</f>
        <v>2017</v>
      </c>
      <c r="M3" s="89">
        <f>L3+1</f>
        <v>2018</v>
      </c>
      <c r="N3" s="89">
        <f>M3+1</f>
        <v>2019</v>
      </c>
      <c r="O3" s="89">
        <f>N3+1</f>
        <v>2020</v>
      </c>
      <c r="P3" s="89">
        <f>O3+1</f>
        <v>2021</v>
      </c>
    </row>
    <row r="4" spans="1:16">
      <c r="B4" s="30"/>
      <c r="C4" s="30"/>
      <c r="D4" s="30"/>
      <c r="E4" s="30"/>
      <c r="F4" s="30"/>
      <c r="G4" s="30"/>
      <c r="H4" s="30"/>
      <c r="I4" s="30"/>
      <c r="J4" s="34"/>
      <c r="K4" s="35"/>
      <c r="L4" s="34"/>
      <c r="M4" s="34"/>
      <c r="N4" s="34"/>
      <c r="O4" s="34"/>
      <c r="P4" s="34"/>
    </row>
    <row r="5" spans="1:16">
      <c r="A5" s="4" t="s">
        <v>0</v>
      </c>
      <c r="B5" s="30" t="s">
        <v>26</v>
      </c>
      <c r="C5" s="30"/>
      <c r="D5" s="30"/>
      <c r="E5" s="30"/>
      <c r="F5" s="30"/>
      <c r="G5" s="30"/>
      <c r="H5" s="30"/>
      <c r="I5" s="118">
        <f>IncomeStatement!H9</f>
        <v>0</v>
      </c>
      <c r="J5" s="118">
        <f>IncomeStatement!I9</f>
        <v>0</v>
      </c>
      <c r="K5" s="119">
        <f>IncomeStatement!J9</f>
        <v>0</v>
      </c>
      <c r="L5" s="118">
        <f>IncomeStatement!L9</f>
        <v>230</v>
      </c>
      <c r="M5" s="118">
        <f>IncomeStatement!M9</f>
        <v>1380</v>
      </c>
      <c r="N5" s="118">
        <f>IncomeStatement!N9</f>
        <v>4140</v>
      </c>
      <c r="O5" s="118">
        <f>IncomeStatement!O9</f>
        <v>10350</v>
      </c>
      <c r="P5" s="118">
        <f>IncomeStatement!P9</f>
        <v>19665</v>
      </c>
    </row>
    <row r="6" spans="1:16">
      <c r="B6" s="30" t="s">
        <v>58</v>
      </c>
      <c r="C6" s="30"/>
      <c r="D6" s="30"/>
      <c r="E6" s="30"/>
      <c r="F6" s="30"/>
      <c r="G6" s="30"/>
      <c r="H6" s="30"/>
      <c r="I6" s="120"/>
      <c r="J6" s="120"/>
      <c r="K6" s="121"/>
      <c r="L6" s="102">
        <f>L5*L7</f>
        <v>11.5</v>
      </c>
      <c r="M6" s="102">
        <f t="shared" ref="M6:P6" si="0">M5*M7</f>
        <v>55.2</v>
      </c>
      <c r="N6" s="102">
        <f t="shared" si="0"/>
        <v>149.04000000000002</v>
      </c>
      <c r="O6" s="102">
        <f t="shared" si="0"/>
        <v>335.34000000000003</v>
      </c>
      <c r="P6" s="102">
        <f t="shared" si="0"/>
        <v>573.43140000000005</v>
      </c>
    </row>
    <row r="7" spans="1:16">
      <c r="B7" s="30"/>
      <c r="C7" s="122" t="s">
        <v>65</v>
      </c>
      <c r="D7" s="30"/>
      <c r="E7" s="30"/>
      <c r="F7" s="30"/>
      <c r="G7" s="30"/>
      <c r="H7" s="30"/>
      <c r="I7" s="107" t="e">
        <f>I6/I5</f>
        <v>#DIV/0!</v>
      </c>
      <c r="J7" s="107" t="e">
        <f>J6/J5</f>
        <v>#DIV/0!</v>
      </c>
      <c r="K7" s="123" t="e">
        <f>K6/K5</f>
        <v>#DIV/0!</v>
      </c>
      <c r="L7" s="124">
        <v>0.05</v>
      </c>
      <c r="M7" s="124">
        <v>0.04</v>
      </c>
      <c r="N7" s="124">
        <f t="shared" ref="N7:P7" si="1">M7*0.9</f>
        <v>3.6000000000000004E-2</v>
      </c>
      <c r="O7" s="124">
        <f t="shared" si="1"/>
        <v>3.2400000000000005E-2</v>
      </c>
      <c r="P7" s="124">
        <f t="shared" si="1"/>
        <v>2.9160000000000005E-2</v>
      </c>
    </row>
    <row r="8" spans="1:16">
      <c r="B8" s="30"/>
      <c r="C8" s="30"/>
      <c r="D8" s="30"/>
      <c r="E8" s="30"/>
      <c r="F8" s="30"/>
      <c r="G8" s="30"/>
      <c r="H8" s="30"/>
      <c r="I8" s="32"/>
      <c r="J8" s="32"/>
      <c r="K8" s="125"/>
      <c r="L8" s="32"/>
      <c r="M8" s="32"/>
      <c r="N8" s="32"/>
      <c r="O8" s="32"/>
      <c r="P8" s="32"/>
    </row>
    <row r="9" spans="1:16">
      <c r="B9" s="30" t="s">
        <v>66</v>
      </c>
      <c r="C9" s="30"/>
      <c r="D9" s="30"/>
      <c r="E9" s="30"/>
      <c r="F9" s="30"/>
      <c r="G9" s="30"/>
      <c r="H9" s="30"/>
      <c r="I9" s="32"/>
      <c r="J9" s="32"/>
      <c r="K9" s="125"/>
      <c r="L9" s="59">
        <f>K13</f>
        <v>28.609310000000001</v>
      </c>
      <c r="M9" s="59">
        <f>L13</f>
        <v>24.654654999999998</v>
      </c>
      <c r="N9" s="59">
        <f>M13</f>
        <v>62.498218333333341</v>
      </c>
      <c r="O9" s="59">
        <f>N13</f>
        <v>178.52600000000001</v>
      </c>
      <c r="P9" s="59">
        <f>O13</f>
        <v>437.18399999999997</v>
      </c>
    </row>
    <row r="10" spans="1:16">
      <c r="B10" s="30"/>
      <c r="C10" s="30" t="s">
        <v>58</v>
      </c>
      <c r="D10" s="30"/>
      <c r="E10" s="30"/>
      <c r="F10" s="30"/>
      <c r="G10" s="30"/>
      <c r="H10" s="30"/>
      <c r="I10" s="32"/>
      <c r="J10" s="32"/>
      <c r="K10" s="125"/>
      <c r="L10" s="59">
        <f>L6</f>
        <v>11.5</v>
      </c>
      <c r="M10" s="59">
        <f>M6</f>
        <v>55.2</v>
      </c>
      <c r="N10" s="59">
        <f>N6</f>
        <v>149.04000000000002</v>
      </c>
      <c r="O10" s="59">
        <f>O6</f>
        <v>335.34000000000003</v>
      </c>
      <c r="P10" s="59">
        <f>P6</f>
        <v>573.43140000000005</v>
      </c>
    </row>
    <row r="11" spans="1:16">
      <c r="B11" s="30"/>
      <c r="C11" s="30" t="s">
        <v>67</v>
      </c>
      <c r="D11" s="30"/>
      <c r="E11" s="30"/>
      <c r="F11" s="30"/>
      <c r="G11" s="30"/>
      <c r="H11" s="30"/>
      <c r="I11" s="32"/>
      <c r="J11" s="32"/>
      <c r="K11" s="125"/>
      <c r="L11" s="126">
        <v>0</v>
      </c>
      <c r="M11" s="126">
        <v>0</v>
      </c>
      <c r="N11" s="126">
        <v>0</v>
      </c>
      <c r="O11" s="126">
        <v>0</v>
      </c>
      <c r="P11" s="126">
        <v>0</v>
      </c>
    </row>
    <row r="12" spans="1:16">
      <c r="B12" s="30"/>
      <c r="C12" s="30" t="s">
        <v>68</v>
      </c>
      <c r="D12" s="30"/>
      <c r="E12" s="30"/>
      <c r="F12" s="30"/>
      <c r="G12" s="30"/>
      <c r="H12" s="30"/>
      <c r="I12" s="32"/>
      <c r="J12" s="32"/>
      <c r="K12" s="127"/>
      <c r="L12" s="59">
        <f>-L30</f>
        <v>-15.454655000000002</v>
      </c>
      <c r="M12" s="59">
        <f>-M30</f>
        <v>-17.356436666666667</v>
      </c>
      <c r="N12" s="59">
        <f>-N30</f>
        <v>-33.012218333333337</v>
      </c>
      <c r="O12" s="59">
        <f>-O30</f>
        <v>-76.682000000000016</v>
      </c>
      <c r="P12" s="59">
        <f>-P30</f>
        <v>-167.55914000000001</v>
      </c>
    </row>
    <row r="13" spans="1:16">
      <c r="A13" s="4" t="s">
        <v>0</v>
      </c>
      <c r="B13" s="30" t="s">
        <v>69</v>
      </c>
      <c r="C13" s="30"/>
      <c r="D13" s="30"/>
      <c r="E13" s="30"/>
      <c r="F13" s="30"/>
      <c r="G13" s="30"/>
      <c r="H13" s="30"/>
      <c r="I13" s="128">
        <f>BalanceSheet!H15</f>
        <v>0</v>
      </c>
      <c r="J13" s="128">
        <f>BalanceSheet!I15</f>
        <v>0</v>
      </c>
      <c r="K13" s="129">
        <f>BalanceSheet!K15</f>
        <v>28.609310000000001</v>
      </c>
      <c r="L13" s="130">
        <f>SUM(L9:L12)</f>
        <v>24.654654999999998</v>
      </c>
      <c r="M13" s="130">
        <f>SUM(M9:M12)</f>
        <v>62.498218333333341</v>
      </c>
      <c r="N13" s="130">
        <f>SUM(N9:N12)</f>
        <v>178.52600000000001</v>
      </c>
      <c r="O13" s="130">
        <f>SUM(O9:O12)</f>
        <v>437.18399999999997</v>
      </c>
      <c r="P13" s="130">
        <f>SUM(P9:P12)</f>
        <v>843.05626000000007</v>
      </c>
    </row>
    <row r="14" spans="1:16">
      <c r="B14" s="30"/>
      <c r="C14" s="30"/>
      <c r="D14" s="30"/>
      <c r="E14" s="30"/>
      <c r="F14" s="30"/>
      <c r="G14" s="30"/>
      <c r="H14" s="30"/>
      <c r="I14" s="30"/>
      <c r="J14" s="34"/>
      <c r="K14" s="131"/>
      <c r="L14" s="34"/>
      <c r="M14" s="34"/>
      <c r="N14" s="34"/>
      <c r="O14" s="34"/>
      <c r="P14" s="34"/>
    </row>
    <row r="15" spans="1:16">
      <c r="B15" s="30" t="s">
        <v>70</v>
      </c>
      <c r="C15" s="30"/>
      <c r="D15" s="30"/>
      <c r="E15" s="30"/>
      <c r="F15" s="30"/>
      <c r="G15" s="30"/>
      <c r="H15" s="30"/>
      <c r="I15" s="30"/>
      <c r="J15" s="34"/>
      <c r="K15" s="90">
        <f>K13</f>
        <v>28.609310000000001</v>
      </c>
      <c r="L15" s="34"/>
      <c r="M15" s="34"/>
      <c r="N15" s="34"/>
      <c r="O15" s="34"/>
      <c r="P15" s="34"/>
    </row>
    <row r="16" spans="1:16">
      <c r="B16" s="30"/>
      <c r="C16" s="30" t="s">
        <v>71</v>
      </c>
      <c r="D16" s="30"/>
      <c r="E16" s="30"/>
      <c r="F16" s="30"/>
      <c r="G16" s="30"/>
      <c r="H16" s="30"/>
      <c r="I16" s="30"/>
      <c r="J16" s="34"/>
      <c r="K16" s="132">
        <v>0</v>
      </c>
      <c r="L16" s="34"/>
      <c r="M16" s="34"/>
      <c r="N16" s="34"/>
      <c r="O16" s="34"/>
      <c r="P16" s="34"/>
    </row>
    <row r="17" spans="1:16">
      <c r="B17" s="30"/>
      <c r="C17" s="30" t="s">
        <v>72</v>
      </c>
      <c r="D17" s="30"/>
      <c r="E17" s="30"/>
      <c r="F17" s="30"/>
      <c r="G17" s="30"/>
      <c r="H17" s="30"/>
      <c r="I17" s="30"/>
      <c r="J17" s="34"/>
      <c r="K17" s="90">
        <f>K15-K16</f>
        <v>28.609310000000001</v>
      </c>
      <c r="L17" s="34"/>
      <c r="M17" s="34"/>
      <c r="N17" s="34"/>
      <c r="O17" s="34"/>
      <c r="P17" s="34"/>
    </row>
    <row r="18" spans="1:16">
      <c r="B18" s="30"/>
      <c r="C18" s="30"/>
      <c r="D18" s="30"/>
      <c r="E18" s="30"/>
      <c r="F18" s="30"/>
      <c r="G18" s="30"/>
      <c r="H18" s="30"/>
      <c r="I18" s="30"/>
      <c r="J18" s="34"/>
      <c r="K18" s="131"/>
      <c r="L18" s="133" t="s">
        <v>73</v>
      </c>
      <c r="M18" s="133"/>
      <c r="N18" s="133"/>
      <c r="O18" s="133"/>
      <c r="P18" s="133"/>
    </row>
    <row r="19" spans="1:16">
      <c r="B19" s="30" t="s">
        <v>74</v>
      </c>
      <c r="C19" s="30"/>
      <c r="D19" s="30"/>
      <c r="E19" s="30"/>
      <c r="F19" s="30"/>
      <c r="G19" s="30"/>
      <c r="H19" s="30"/>
      <c r="I19" s="30"/>
      <c r="J19" s="34"/>
      <c r="K19" s="132">
        <v>3</v>
      </c>
      <c r="L19" s="108">
        <f>SYD($K$17,0,$K$19,L3-$K$3)</f>
        <v>14.304655000000002</v>
      </c>
      <c r="M19" s="74">
        <f>SYD($K$17,0,$K$19,M3-$K$3)</f>
        <v>9.5364366666666669</v>
      </c>
      <c r="N19" s="74">
        <f>SYD($K$17,0,$K$19,N3-$K$3)</f>
        <v>4.7682183333333334</v>
      </c>
      <c r="O19" s="74"/>
      <c r="P19" s="74"/>
    </row>
    <row r="20" spans="1:16">
      <c r="B20" s="30"/>
      <c r="C20" s="30"/>
      <c r="D20" s="30"/>
      <c r="E20" s="30"/>
      <c r="F20" s="30"/>
      <c r="G20" s="30"/>
      <c r="H20" s="30"/>
      <c r="I20" s="30"/>
      <c r="J20" s="34"/>
      <c r="K20" s="134"/>
      <c r="L20" s="34"/>
      <c r="M20" s="34"/>
      <c r="N20" s="34"/>
      <c r="O20" s="34"/>
      <c r="P20" s="34"/>
    </row>
    <row r="21" spans="1:16">
      <c r="B21" s="30" t="s">
        <v>75</v>
      </c>
      <c r="C21" s="30"/>
      <c r="D21" s="30"/>
      <c r="E21" s="30"/>
      <c r="F21" s="30"/>
      <c r="G21" s="30"/>
      <c r="H21" s="30"/>
      <c r="I21" s="30"/>
      <c r="J21" s="34"/>
      <c r="K21" s="132">
        <v>5</v>
      </c>
      <c r="L21" s="34"/>
      <c r="M21" s="34"/>
      <c r="N21" s="34"/>
      <c r="O21" s="34"/>
      <c r="P21" s="34"/>
    </row>
    <row r="22" spans="1:16">
      <c r="B22" s="30"/>
      <c r="C22" s="30"/>
      <c r="D22" s="30"/>
      <c r="E22" s="30"/>
      <c r="F22" s="30"/>
      <c r="G22" s="30"/>
      <c r="H22" s="30"/>
      <c r="I22" s="30"/>
      <c r="J22" s="34"/>
      <c r="K22" s="131"/>
      <c r="L22" s="34"/>
      <c r="M22" s="34"/>
      <c r="N22" s="34"/>
      <c r="O22" s="34"/>
      <c r="P22" s="34"/>
    </row>
    <row r="23" spans="1:16">
      <c r="A23" s="4" t="s">
        <v>0</v>
      </c>
      <c r="B23" s="30" t="s">
        <v>76</v>
      </c>
      <c r="C23" s="30"/>
      <c r="D23" s="30"/>
      <c r="E23" s="30"/>
      <c r="F23" s="30"/>
      <c r="G23" s="30"/>
      <c r="H23" s="30"/>
      <c r="I23" s="30"/>
      <c r="J23" s="34"/>
      <c r="K23" s="131"/>
      <c r="L23" s="133" t="s">
        <v>76</v>
      </c>
      <c r="M23" s="133"/>
      <c r="N23" s="133"/>
      <c r="O23" s="133"/>
      <c r="P23" s="133"/>
    </row>
    <row r="24" spans="1:16">
      <c r="B24" s="30"/>
      <c r="C24" s="30" t="str">
        <f>"Depreciation of "&amp;L3&amp;" capex"</f>
        <v>Depreciation of 2017 capex</v>
      </c>
      <c r="D24" s="30"/>
      <c r="E24" s="30"/>
      <c r="F24" s="30"/>
      <c r="G24" s="30"/>
      <c r="H24" s="30"/>
      <c r="I24" s="30"/>
      <c r="J24" s="34"/>
      <c r="K24" s="131"/>
      <c r="L24" s="58">
        <f>($L$6/$K$21)/2</f>
        <v>1.1499999999999999</v>
      </c>
      <c r="M24" s="56">
        <f>$L$6/$K$21</f>
        <v>2.2999999999999998</v>
      </c>
      <c r="N24" s="56">
        <f>$L$6/$K$21</f>
        <v>2.2999999999999998</v>
      </c>
      <c r="O24" s="56">
        <f>$L$6/$K$21</f>
        <v>2.2999999999999998</v>
      </c>
      <c r="P24" s="56">
        <f>($L$6/$K$21)</f>
        <v>2.2999999999999998</v>
      </c>
    </row>
    <row r="25" spans="1:16">
      <c r="B25" s="30"/>
      <c r="C25" s="30" t="str">
        <f>"Depreciation of "&amp;M3&amp;" capex"</f>
        <v>Depreciation of 2018 capex</v>
      </c>
      <c r="D25" s="30"/>
      <c r="E25" s="30"/>
      <c r="F25" s="30"/>
      <c r="G25" s="30"/>
      <c r="H25" s="30"/>
      <c r="I25" s="30"/>
      <c r="J25" s="34"/>
      <c r="K25" s="131"/>
      <c r="L25" s="34"/>
      <c r="M25" s="55">
        <f>($M$6/$K$21)/2</f>
        <v>5.5200000000000005</v>
      </c>
      <c r="N25" s="55">
        <f>$M$6/$K$21</f>
        <v>11.040000000000001</v>
      </c>
      <c r="O25" s="55">
        <f>$M$6/$K$21</f>
        <v>11.040000000000001</v>
      </c>
      <c r="P25" s="55">
        <f>($M$6/$K$21)</f>
        <v>11.040000000000001</v>
      </c>
    </row>
    <row r="26" spans="1:16">
      <c r="B26" s="30"/>
      <c r="C26" s="30" t="str">
        <f>"Depreciation of "&amp;N3&amp;" capex"</f>
        <v>Depreciation of 2019 capex</v>
      </c>
      <c r="D26" s="30"/>
      <c r="E26" s="30"/>
      <c r="F26" s="30"/>
      <c r="G26" s="30"/>
      <c r="H26" s="30"/>
      <c r="I26" s="30"/>
      <c r="J26" s="34"/>
      <c r="K26" s="131"/>
      <c r="L26" s="34"/>
      <c r="M26" s="34"/>
      <c r="N26" s="55">
        <f>($N$6/$K$21)/2</f>
        <v>14.904000000000002</v>
      </c>
      <c r="O26" s="55">
        <f>$N$6/$K$21</f>
        <v>29.808000000000003</v>
      </c>
      <c r="P26" s="55">
        <f>$N$6/$K$21</f>
        <v>29.808000000000003</v>
      </c>
    </row>
    <row r="27" spans="1:16">
      <c r="B27" s="30"/>
      <c r="C27" s="30" t="str">
        <f>"Depreciation of "&amp;O3&amp;" capex"</f>
        <v>Depreciation of 2020 capex</v>
      </c>
      <c r="D27" s="30"/>
      <c r="E27" s="30"/>
      <c r="F27" s="30"/>
      <c r="G27" s="30"/>
      <c r="H27" s="30"/>
      <c r="I27" s="30"/>
      <c r="J27" s="34"/>
      <c r="K27" s="131"/>
      <c r="L27" s="34"/>
      <c r="M27" s="34"/>
      <c r="N27" s="34"/>
      <c r="O27" s="55">
        <f>($O$6/$K$21)/2</f>
        <v>33.534000000000006</v>
      </c>
      <c r="P27" s="55">
        <f>$O$6/$K$21</f>
        <v>67.068000000000012</v>
      </c>
    </row>
    <row r="28" spans="1:16">
      <c r="B28" s="30"/>
      <c r="C28" s="30" t="str">
        <f>"Depreciation of "&amp;P3&amp;" capex"</f>
        <v>Depreciation of 2021 capex</v>
      </c>
      <c r="D28" s="30"/>
      <c r="E28" s="30"/>
      <c r="F28" s="30"/>
      <c r="G28" s="30"/>
      <c r="H28" s="30"/>
      <c r="I28" s="30"/>
      <c r="J28" s="34"/>
      <c r="K28" s="131"/>
      <c r="L28" s="34"/>
      <c r="M28" s="34"/>
      <c r="N28" s="34"/>
      <c r="O28" s="34"/>
      <c r="P28" s="55">
        <f>($P$6/$K$21)/2</f>
        <v>57.343140000000005</v>
      </c>
    </row>
    <row r="29" spans="1:16">
      <c r="B29" s="30"/>
      <c r="C29" s="30"/>
      <c r="D29" s="30"/>
      <c r="E29" s="30"/>
      <c r="F29" s="30"/>
      <c r="G29" s="30"/>
      <c r="H29" s="30"/>
      <c r="I29" s="30"/>
      <c r="J29" s="34"/>
      <c r="K29" s="131"/>
      <c r="L29" s="34"/>
      <c r="M29" s="34"/>
      <c r="N29" s="34"/>
      <c r="O29" s="34"/>
      <c r="P29" s="34"/>
    </row>
    <row r="30" spans="1:16">
      <c r="A30" s="4" t="s">
        <v>0</v>
      </c>
      <c r="B30" s="33" t="s">
        <v>77</v>
      </c>
      <c r="C30" s="30"/>
      <c r="D30" s="30"/>
      <c r="E30" s="30"/>
      <c r="F30" s="30"/>
      <c r="G30" s="30"/>
      <c r="H30" s="30"/>
      <c r="I30" s="30"/>
      <c r="J30" s="135"/>
      <c r="K30" s="136">
        <f>IncomeStatement!K16</f>
        <v>0</v>
      </c>
      <c r="L30" s="103">
        <f>SUM(L24:L29,L19)</f>
        <v>15.454655000000002</v>
      </c>
      <c r="M30" s="103">
        <f t="shared" ref="M30:P30" si="2">SUM(M24:M29,M19)</f>
        <v>17.356436666666667</v>
      </c>
      <c r="N30" s="103">
        <f t="shared" si="2"/>
        <v>33.012218333333337</v>
      </c>
      <c r="O30" s="103">
        <f t="shared" si="2"/>
        <v>76.682000000000016</v>
      </c>
      <c r="P30" s="103">
        <f t="shared" si="2"/>
        <v>167.55914000000001</v>
      </c>
    </row>
    <row r="31" spans="1:16">
      <c r="B31" s="30"/>
      <c r="C31" s="30" t="s">
        <v>78</v>
      </c>
      <c r="D31" s="30"/>
      <c r="E31" s="30"/>
      <c r="F31" s="30"/>
      <c r="G31" s="30"/>
      <c r="H31" s="30"/>
      <c r="I31" s="30"/>
      <c r="J31" s="47"/>
      <c r="K31" s="137">
        <f t="shared" ref="K31:P31" si="3">K30/K13</f>
        <v>0</v>
      </c>
      <c r="L31" s="47">
        <f t="shared" si="3"/>
        <v>0.62684531582372593</v>
      </c>
      <c r="M31" s="47">
        <f t="shared" si="3"/>
        <v>0.27771090327881609</v>
      </c>
      <c r="N31" s="47">
        <f t="shared" si="3"/>
        <v>0.18491546516100363</v>
      </c>
      <c r="O31" s="47">
        <f t="shared" si="3"/>
        <v>0.17539983164983169</v>
      </c>
      <c r="P31" s="47">
        <f t="shared" si="3"/>
        <v>0.19875202634756547</v>
      </c>
    </row>
    <row r="32" spans="1:16">
      <c r="B32" s="30"/>
      <c r="C32" s="30" t="s">
        <v>79</v>
      </c>
      <c r="D32" s="30"/>
      <c r="E32" s="30"/>
      <c r="F32" s="30"/>
      <c r="G32" s="30"/>
      <c r="H32" s="30"/>
      <c r="I32" s="30"/>
      <c r="J32" s="47"/>
      <c r="K32" s="137" t="e">
        <f t="shared" ref="K32:P32" si="4">K30/K6</f>
        <v>#DIV/0!</v>
      </c>
      <c r="L32" s="47">
        <f t="shared" si="4"/>
        <v>1.3438830434782612</v>
      </c>
      <c r="M32" s="47">
        <f t="shared" si="4"/>
        <v>0.31442820048309178</v>
      </c>
      <c r="N32" s="47">
        <f t="shared" si="4"/>
        <v>0.22149904947217749</v>
      </c>
      <c r="O32" s="47">
        <f t="shared" si="4"/>
        <v>0.22866941015089165</v>
      </c>
      <c r="P32" s="47">
        <f t="shared" si="4"/>
        <v>0.29220433342157404</v>
      </c>
    </row>
    <row r="33" spans="1:16">
      <c r="A33" s="4" t="s">
        <v>0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</row>
    <row r="34" spans="1:16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>
      <c r="B35" s="115" t="str">
        <f>"Amortization Schedule for "&amp;Inputs!D5</f>
        <v>Amortization Schedule for ACME, Inc.</v>
      </c>
      <c r="C35" s="36"/>
      <c r="D35" s="36"/>
      <c r="E35" s="36"/>
      <c r="F35" s="36"/>
      <c r="G35" s="36"/>
      <c r="H35" s="36"/>
      <c r="I35" s="50"/>
      <c r="J35" s="50"/>
      <c r="K35" s="116"/>
      <c r="L35" s="51" t="str">
        <f>"Projections ending "&amp;TEXT(Inputs!D9,"mmm dd")&amp;","</f>
        <v>Projections ending Dec 31,</v>
      </c>
      <c r="M35" s="50"/>
      <c r="N35" s="50"/>
      <c r="O35" s="50"/>
      <c r="P35" s="50"/>
    </row>
    <row r="36" spans="1:16">
      <c r="B36" s="48" t="str">
        <f>Inputs!D8</f>
        <v>In thousands of dollars (000)</v>
      </c>
      <c r="C36" s="49"/>
      <c r="D36" s="49"/>
      <c r="E36" s="49"/>
      <c r="F36" s="49"/>
      <c r="G36" s="49"/>
      <c r="H36" s="49"/>
      <c r="I36" s="36">
        <f>J36-1</f>
        <v>2014</v>
      </c>
      <c r="J36" s="36">
        <f>K36-1</f>
        <v>2015</v>
      </c>
      <c r="K36" s="117">
        <f>Inputs!D6</f>
        <v>2016</v>
      </c>
      <c r="L36" s="89">
        <f>K36+1</f>
        <v>2017</v>
      </c>
      <c r="M36" s="89">
        <f>L36+1</f>
        <v>2018</v>
      </c>
      <c r="N36" s="89">
        <f>M36+1</f>
        <v>2019</v>
      </c>
      <c r="O36" s="89">
        <f>N36+1</f>
        <v>2020</v>
      </c>
      <c r="P36" s="89">
        <f>O36+1</f>
        <v>2021</v>
      </c>
    </row>
    <row r="37" spans="1:16">
      <c r="B37" s="30"/>
      <c r="C37" s="30"/>
      <c r="D37" s="30"/>
      <c r="E37" s="30"/>
      <c r="F37" s="30"/>
      <c r="G37" s="30"/>
      <c r="H37" s="30"/>
      <c r="I37" s="34"/>
      <c r="J37" s="34"/>
      <c r="K37" s="35"/>
      <c r="L37" s="34"/>
      <c r="M37" s="34"/>
      <c r="N37" s="34"/>
      <c r="O37" s="34"/>
      <c r="P37" s="34"/>
    </row>
    <row r="38" spans="1:16">
      <c r="B38" s="30" t="s">
        <v>26</v>
      </c>
      <c r="C38" s="30"/>
      <c r="D38" s="30"/>
      <c r="E38" s="30"/>
      <c r="F38" s="30"/>
      <c r="G38" s="30"/>
      <c r="H38" s="30"/>
      <c r="I38" s="138">
        <f>IncomeStatement!H9</f>
        <v>0</v>
      </c>
      <c r="J38" s="138">
        <f>IncomeStatement!I9</f>
        <v>0</v>
      </c>
      <c r="K38" s="139">
        <f>IncomeStatement!J9</f>
        <v>0</v>
      </c>
      <c r="L38" s="138">
        <f>IncomeStatement!L9</f>
        <v>230</v>
      </c>
      <c r="M38" s="138">
        <f>IncomeStatement!M9</f>
        <v>1380</v>
      </c>
      <c r="N38" s="138">
        <f>IncomeStatement!N9</f>
        <v>4140</v>
      </c>
      <c r="O38" s="138">
        <f>IncomeStatement!O9</f>
        <v>10350</v>
      </c>
      <c r="P38" s="138">
        <f>IncomeStatement!P9</f>
        <v>19665</v>
      </c>
    </row>
    <row r="39" spans="1:16">
      <c r="B39" s="30" t="s">
        <v>80</v>
      </c>
      <c r="C39" s="30"/>
      <c r="D39" s="30"/>
      <c r="E39" s="30"/>
      <c r="F39" s="30"/>
      <c r="G39" s="30"/>
      <c r="H39" s="30"/>
      <c r="I39" s="140">
        <v>0</v>
      </c>
      <c r="J39" s="140">
        <v>0</v>
      </c>
      <c r="K39" s="141">
        <v>0</v>
      </c>
      <c r="L39" s="64">
        <f>L40*L38</f>
        <v>0</v>
      </c>
      <c r="M39" s="64">
        <f>M40*M38</f>
        <v>0</v>
      </c>
      <c r="N39" s="64">
        <f>N40*N38</f>
        <v>0</v>
      </c>
      <c r="O39" s="64">
        <f>O40*O38</f>
        <v>0</v>
      </c>
      <c r="P39" s="64">
        <f>P40*P38</f>
        <v>0</v>
      </c>
    </row>
    <row r="40" spans="1:16">
      <c r="B40" s="30"/>
      <c r="C40" s="122" t="s">
        <v>81</v>
      </c>
      <c r="D40" s="30"/>
      <c r="E40" s="30"/>
      <c r="F40" s="30"/>
      <c r="G40" s="30"/>
      <c r="H40" s="30"/>
      <c r="I40" s="47" t="e">
        <f>I39/I38</f>
        <v>#DIV/0!</v>
      </c>
      <c r="J40" s="47" t="e">
        <f>J39/J38</f>
        <v>#DIV/0!</v>
      </c>
      <c r="K40" s="142" t="e">
        <f>K39/K38</f>
        <v>#DIV/0!</v>
      </c>
      <c r="L40" s="143">
        <v>0</v>
      </c>
      <c r="M40" s="144">
        <f>L40</f>
        <v>0</v>
      </c>
      <c r="N40" s="144">
        <f>M40</f>
        <v>0</v>
      </c>
      <c r="O40" s="144">
        <f>N40</f>
        <v>0</v>
      </c>
      <c r="P40" s="144">
        <f>O40</f>
        <v>0</v>
      </c>
    </row>
    <row r="41" spans="1:16">
      <c r="B41" s="30"/>
      <c r="C41" s="30"/>
      <c r="D41" s="30"/>
      <c r="E41" s="30"/>
      <c r="F41" s="30"/>
      <c r="G41" s="30"/>
      <c r="H41" s="30"/>
      <c r="I41" s="34"/>
      <c r="J41" s="34"/>
      <c r="K41" s="35"/>
      <c r="L41" s="34"/>
      <c r="M41" s="34"/>
      <c r="N41" s="34"/>
      <c r="O41" s="34"/>
      <c r="P41" s="34"/>
    </row>
    <row r="42" spans="1:16">
      <c r="B42" s="30" t="s">
        <v>82</v>
      </c>
      <c r="C42" s="30"/>
      <c r="D42" s="30"/>
      <c r="E42" s="30"/>
      <c r="F42" s="30"/>
      <c r="G42" s="30"/>
      <c r="H42" s="30"/>
      <c r="I42" s="34"/>
      <c r="J42" s="34"/>
      <c r="K42" s="35"/>
      <c r="L42" s="55">
        <f>K46</f>
        <v>0</v>
      </c>
      <c r="M42" s="55">
        <f>L46</f>
        <v>0</v>
      </c>
      <c r="N42" s="55">
        <f>M46</f>
        <v>0</v>
      </c>
      <c r="O42" s="55">
        <f>N46</f>
        <v>0</v>
      </c>
      <c r="P42" s="55">
        <f>O46</f>
        <v>0</v>
      </c>
    </row>
    <row r="43" spans="1:16">
      <c r="B43" s="30"/>
      <c r="C43" s="30" t="s">
        <v>80</v>
      </c>
      <c r="D43" s="30"/>
      <c r="E43" s="30"/>
      <c r="F43" s="30"/>
      <c r="G43" s="30"/>
      <c r="H43" s="30"/>
      <c r="I43" s="34"/>
      <c r="J43" s="34"/>
      <c r="K43" s="35"/>
      <c r="L43" s="55">
        <f>L39</f>
        <v>0</v>
      </c>
      <c r="M43" s="55">
        <f>M39</f>
        <v>0</v>
      </c>
      <c r="N43" s="55">
        <f>N39</f>
        <v>0</v>
      </c>
      <c r="O43" s="55">
        <f>O39</f>
        <v>0</v>
      </c>
      <c r="P43" s="55">
        <f>P39</f>
        <v>0</v>
      </c>
    </row>
    <row r="44" spans="1:16">
      <c r="B44" s="30"/>
      <c r="C44" s="30" t="s">
        <v>83</v>
      </c>
      <c r="D44" s="30"/>
      <c r="E44" s="30"/>
      <c r="F44" s="30"/>
      <c r="G44" s="30"/>
      <c r="H44" s="30"/>
      <c r="I44" s="34"/>
      <c r="J44" s="34"/>
      <c r="K44" s="35"/>
      <c r="L44" s="55">
        <f>-L58</f>
        <v>0</v>
      </c>
      <c r="M44" s="55">
        <f>-M58</f>
        <v>0</v>
      </c>
      <c r="N44" s="55">
        <f>-N58</f>
        <v>0</v>
      </c>
      <c r="O44" s="55">
        <f>-O58</f>
        <v>0</v>
      </c>
      <c r="P44" s="55">
        <f>-P58</f>
        <v>0</v>
      </c>
    </row>
    <row r="45" spans="1:16">
      <c r="B45" s="30"/>
      <c r="C45" s="30" t="s">
        <v>84</v>
      </c>
      <c r="D45" s="30"/>
      <c r="E45" s="30"/>
      <c r="F45" s="30"/>
      <c r="G45" s="30"/>
      <c r="H45" s="30"/>
      <c r="I45" s="34"/>
      <c r="J45" s="34"/>
      <c r="K45" s="35"/>
      <c r="L45" s="112">
        <v>0</v>
      </c>
      <c r="M45" s="112">
        <v>0</v>
      </c>
      <c r="N45" s="112">
        <v>0</v>
      </c>
      <c r="O45" s="112">
        <v>0</v>
      </c>
      <c r="P45" s="112">
        <v>0</v>
      </c>
    </row>
    <row r="46" spans="1:16">
      <c r="B46" s="30" t="s">
        <v>85</v>
      </c>
      <c r="C46" s="30"/>
      <c r="D46" s="30"/>
      <c r="E46" s="30"/>
      <c r="F46" s="30"/>
      <c r="G46" s="30"/>
      <c r="H46" s="30"/>
      <c r="I46" s="112">
        <f>BalanceSheet!H17</f>
        <v>0</v>
      </c>
      <c r="J46" s="112">
        <f>BalanceSheet!I17</f>
        <v>0</v>
      </c>
      <c r="K46" s="141">
        <f>BalanceSheet!J16</f>
        <v>0</v>
      </c>
      <c r="L46" s="56">
        <f>SUM(L42:L45)</f>
        <v>0</v>
      </c>
      <c r="M46" s="56">
        <f>SUM(M42:M45)</f>
        <v>0</v>
      </c>
      <c r="N46" s="56">
        <f>SUM(N42:N45)</f>
        <v>0</v>
      </c>
      <c r="O46" s="56">
        <f>SUM(O42:O45)</f>
        <v>0</v>
      </c>
      <c r="P46" s="56">
        <f>SUM(P42:P45)</f>
        <v>0</v>
      </c>
    </row>
    <row r="47" spans="1:16">
      <c r="B47" s="30"/>
      <c r="C47" s="30"/>
      <c r="D47" s="30"/>
      <c r="E47" s="30"/>
      <c r="F47" s="30"/>
      <c r="G47" s="30"/>
      <c r="H47" s="30"/>
      <c r="I47" s="30"/>
      <c r="J47" s="34"/>
      <c r="K47" s="35"/>
      <c r="L47" s="34"/>
      <c r="M47" s="34"/>
      <c r="N47" s="34"/>
      <c r="O47" s="34"/>
      <c r="P47" s="34"/>
    </row>
    <row r="48" spans="1:16">
      <c r="B48" s="30"/>
      <c r="C48" s="30"/>
      <c r="D48" s="30"/>
      <c r="E48" s="30"/>
      <c r="F48" s="30"/>
      <c r="G48" s="30"/>
      <c r="H48" s="30"/>
      <c r="I48" s="30"/>
      <c r="J48" s="34"/>
      <c r="K48" s="145"/>
      <c r="L48" s="146" t="s">
        <v>86</v>
      </c>
      <c r="M48" s="133"/>
      <c r="N48" s="133"/>
      <c r="O48" s="133"/>
      <c r="P48" s="133"/>
    </row>
    <row r="49" spans="2:16">
      <c r="B49" s="30" t="s">
        <v>87</v>
      </c>
      <c r="C49" s="30"/>
      <c r="D49" s="30"/>
      <c r="E49" s="30"/>
      <c r="F49" s="30"/>
      <c r="G49" s="30"/>
      <c r="H49" s="30"/>
      <c r="I49" s="30"/>
      <c r="J49" s="34"/>
      <c r="K49" s="113">
        <v>10</v>
      </c>
      <c r="L49" s="74">
        <f>SYD($K$46,0,$K$49,L36-$K$36)</f>
        <v>0</v>
      </c>
      <c r="M49" s="74">
        <f>SYD($K$46,0,$K$49,M36-$K$36)</f>
        <v>0</v>
      </c>
      <c r="N49" s="74">
        <f>SYD($K$46,0,$K$49,N36-$K$36)</f>
        <v>0</v>
      </c>
      <c r="O49" s="74">
        <f>SYD($K$46,0,$K$49,O36-$K$36)</f>
        <v>0</v>
      </c>
      <c r="P49" s="74">
        <f>SYD($K$46,0,$K$49,P36-$K$36)</f>
        <v>0</v>
      </c>
    </row>
    <row r="50" spans="2:16">
      <c r="B50" s="30"/>
      <c r="C50" s="30"/>
      <c r="D50" s="30"/>
      <c r="E50" s="30"/>
      <c r="F50" s="30"/>
      <c r="G50" s="30"/>
      <c r="H50" s="30"/>
      <c r="I50" s="30"/>
      <c r="J50" s="34"/>
      <c r="K50" s="35"/>
      <c r="L50" s="34"/>
      <c r="M50" s="34"/>
      <c r="N50" s="34"/>
      <c r="O50" s="34"/>
      <c r="P50" s="34"/>
    </row>
    <row r="51" spans="2:16">
      <c r="B51" s="30" t="s">
        <v>88</v>
      </c>
      <c r="C51" s="30"/>
      <c r="D51" s="30"/>
      <c r="E51" s="30"/>
      <c r="F51" s="30"/>
      <c r="G51" s="30"/>
      <c r="H51" s="30"/>
      <c r="I51" s="30"/>
      <c r="J51" s="34"/>
      <c r="K51" s="113">
        <v>10</v>
      </c>
      <c r="L51" s="34"/>
      <c r="M51" s="34"/>
      <c r="N51" s="34"/>
      <c r="O51" s="34"/>
      <c r="P51" s="34"/>
    </row>
    <row r="52" spans="2:16">
      <c r="B52" s="30"/>
      <c r="C52" s="30" t="str">
        <f>"Amortization from "&amp;L36&amp;" additions"</f>
        <v>Amortization from 2017 additions</v>
      </c>
      <c r="D52" s="30"/>
      <c r="E52" s="30"/>
      <c r="F52" s="30"/>
      <c r="G52" s="30"/>
      <c r="H52" s="30"/>
      <c r="I52" s="30"/>
      <c r="J52" s="34"/>
      <c r="K52" s="35"/>
      <c r="L52" s="56">
        <f>($L$39/$K$51)/2</f>
        <v>0</v>
      </c>
      <c r="M52" s="56">
        <f>$L$39/$K$51</f>
        <v>0</v>
      </c>
      <c r="N52" s="56">
        <f>$L$39/$K$51</f>
        <v>0</v>
      </c>
      <c r="O52" s="56">
        <f>$L$39/$K$51</f>
        <v>0</v>
      </c>
      <c r="P52" s="56">
        <f>$L$39/$K$51</f>
        <v>0</v>
      </c>
    </row>
    <row r="53" spans="2:16">
      <c r="B53" s="30"/>
      <c r="C53" s="30" t="str">
        <f>"Amortization from "&amp;M36&amp;" additions"</f>
        <v>Amortization from 2018 additions</v>
      </c>
      <c r="D53" s="30"/>
      <c r="E53" s="30"/>
      <c r="F53" s="30"/>
      <c r="G53" s="30"/>
      <c r="H53" s="30"/>
      <c r="I53" s="30"/>
      <c r="J53" s="34"/>
      <c r="K53" s="35"/>
      <c r="L53" s="34"/>
      <c r="M53" s="55">
        <f>($M$39/$K$51)/2</f>
        <v>0</v>
      </c>
      <c r="N53" s="55">
        <f>$M$39/$K$51</f>
        <v>0</v>
      </c>
      <c r="O53" s="55">
        <f>$M$39/$K$51</f>
        <v>0</v>
      </c>
      <c r="P53" s="55">
        <f>$M$39/$K$51</f>
        <v>0</v>
      </c>
    </row>
    <row r="54" spans="2:16">
      <c r="B54" s="30"/>
      <c r="C54" s="30" t="str">
        <f>"Amortization from "&amp;N36&amp;" additions"</f>
        <v>Amortization from 2019 additions</v>
      </c>
      <c r="D54" s="30"/>
      <c r="E54" s="30"/>
      <c r="F54" s="30"/>
      <c r="G54" s="30"/>
      <c r="H54" s="30"/>
      <c r="I54" s="30"/>
      <c r="J54" s="34"/>
      <c r="K54" s="35"/>
      <c r="L54" s="34"/>
      <c r="M54" s="34"/>
      <c r="N54" s="55">
        <f>($N$39/$K$51)/2</f>
        <v>0</v>
      </c>
      <c r="O54" s="55">
        <f>$N$39/$K$51</f>
        <v>0</v>
      </c>
      <c r="P54" s="55">
        <f>$N$39/$K$51</f>
        <v>0</v>
      </c>
    </row>
    <row r="55" spans="2:16">
      <c r="B55" s="30"/>
      <c r="C55" s="30" t="str">
        <f>"Amortization from "&amp;O36&amp;" additions"</f>
        <v>Amortization from 2020 additions</v>
      </c>
      <c r="D55" s="30"/>
      <c r="E55" s="30"/>
      <c r="F55" s="30"/>
      <c r="G55" s="30"/>
      <c r="H55" s="30"/>
      <c r="I55" s="30"/>
      <c r="J55" s="34"/>
      <c r="K55" s="35"/>
      <c r="L55" s="34"/>
      <c r="M55" s="34"/>
      <c r="N55" s="34"/>
      <c r="O55" s="55">
        <f>($O$39/$K$51)/2</f>
        <v>0</v>
      </c>
      <c r="P55" s="55">
        <f>$O$39/$K$51</f>
        <v>0</v>
      </c>
    </row>
    <row r="56" spans="2:16">
      <c r="B56" s="30"/>
      <c r="C56" s="30" t="str">
        <f>"Amortization from "&amp;P36&amp;" additions"</f>
        <v>Amortization from 2021 additions</v>
      </c>
      <c r="D56" s="30"/>
      <c r="E56" s="30"/>
      <c r="F56" s="30"/>
      <c r="G56" s="30"/>
      <c r="H56" s="30"/>
      <c r="I56" s="30"/>
      <c r="J56" s="34"/>
      <c r="K56" s="35"/>
      <c r="L56" s="34"/>
      <c r="M56" s="34"/>
      <c r="N56" s="34"/>
      <c r="O56" s="34"/>
      <c r="P56" s="55">
        <f>($P$39/$K$51)/2</f>
        <v>0</v>
      </c>
    </row>
    <row r="57" spans="2:16">
      <c r="B57" s="30"/>
      <c r="C57" s="30"/>
      <c r="D57" s="30"/>
      <c r="E57" s="30"/>
      <c r="F57" s="30"/>
      <c r="G57" s="30"/>
      <c r="H57" s="30"/>
      <c r="I57" s="30"/>
      <c r="J57" s="34"/>
      <c r="K57" s="35"/>
      <c r="L57" s="34"/>
      <c r="M57" s="34"/>
      <c r="N57" s="34"/>
      <c r="O57" s="34"/>
      <c r="P57" s="34"/>
    </row>
    <row r="58" spans="2:16">
      <c r="B58" s="33" t="s">
        <v>89</v>
      </c>
      <c r="C58" s="30"/>
      <c r="D58" s="30"/>
      <c r="E58" s="30"/>
      <c r="F58" s="30"/>
      <c r="G58" s="30"/>
      <c r="H58" s="30"/>
      <c r="I58" s="30"/>
      <c r="J58" s="103"/>
      <c r="K58" s="104"/>
      <c r="L58" s="103">
        <f>SUM(L52:L56,L49)</f>
        <v>0</v>
      </c>
      <c r="M58" s="103">
        <f>SUM(M52:M56,M49)</f>
        <v>0</v>
      </c>
      <c r="N58" s="103">
        <f>SUM(N52:N56,N49)</f>
        <v>0</v>
      </c>
      <c r="O58" s="103">
        <f>SUM(O52:O56,O49)</f>
        <v>0</v>
      </c>
      <c r="P58" s="103">
        <f>SUM(P52:P56,P49)</f>
        <v>0</v>
      </c>
    </row>
    <row r="59" spans="2:16">
      <c r="B59" s="30"/>
      <c r="C59" s="122" t="s">
        <v>90</v>
      </c>
      <c r="D59" s="30"/>
      <c r="E59" s="30"/>
      <c r="F59" s="30"/>
      <c r="G59" s="30"/>
      <c r="H59" s="30"/>
      <c r="I59" s="30"/>
      <c r="J59" s="47"/>
      <c r="K59" s="142"/>
      <c r="L59" s="47" t="e">
        <f>L58/L46</f>
        <v>#DIV/0!</v>
      </c>
      <c r="M59" s="47" t="e">
        <f>M58/M46</f>
        <v>#DIV/0!</v>
      </c>
      <c r="N59" s="47" t="e">
        <f>N58/N46</f>
        <v>#DIV/0!</v>
      </c>
      <c r="O59" s="47" t="e">
        <f>O58/O46</f>
        <v>#DIV/0!</v>
      </c>
      <c r="P59" s="47" t="e">
        <f>P58/P46</f>
        <v>#DIV/0!</v>
      </c>
    </row>
    <row r="60" spans="2:16">
      <c r="B60" s="30"/>
      <c r="C60" s="122" t="s">
        <v>91</v>
      </c>
      <c r="D60" s="30"/>
      <c r="E60" s="30"/>
      <c r="F60" s="30"/>
      <c r="G60" s="30"/>
      <c r="H60" s="30"/>
      <c r="I60" s="30"/>
      <c r="J60" s="47"/>
      <c r="K60" s="147"/>
      <c r="L60" s="107" t="e">
        <f>L58/L39</f>
        <v>#DIV/0!</v>
      </c>
      <c r="M60" s="107" t="e">
        <f>M58/M39</f>
        <v>#DIV/0!</v>
      </c>
      <c r="N60" s="107" t="e">
        <f>N58/N39</f>
        <v>#DIV/0!</v>
      </c>
      <c r="O60" s="107" t="e">
        <f>O58/O39</f>
        <v>#DIV/0!</v>
      </c>
      <c r="P60" s="107" t="e">
        <f>P58/P39</f>
        <v>#DIV/0!</v>
      </c>
    </row>
    <row r="61" spans="2:16">
      <c r="B61" s="39"/>
      <c r="C61" s="39"/>
      <c r="D61" s="39"/>
      <c r="E61" s="39"/>
      <c r="F61" s="39"/>
      <c r="G61" s="39"/>
      <c r="H61" s="39"/>
      <c r="I61" s="39"/>
      <c r="J61" s="39"/>
      <c r="K61" s="40"/>
      <c r="L61" s="73"/>
      <c r="M61" s="73"/>
      <c r="N61" s="73"/>
      <c r="O61" s="73"/>
      <c r="P61" s="73"/>
    </row>
  </sheetData>
  <pageMargins left="0.75" right="0.75" top="1" bottom="1" header="0.5" footer="0.5"/>
  <pageSetup scale="76" orientation="landscape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3300"/>
  </sheetPr>
  <dimension ref="A1:Q40"/>
  <sheetViews>
    <sheetView showGridLines="0" workbookViewId="0">
      <selection activeCell="M3" sqref="M3"/>
    </sheetView>
  </sheetViews>
  <sheetFormatPr defaultColWidth="9.109375" defaultRowHeight="13.2"/>
  <cols>
    <col min="1" max="1" width="5.6640625" style="41" customWidth="1"/>
    <col min="2" max="4" width="2.6640625" style="30" customWidth="1"/>
    <col min="5" max="8" width="9.109375" style="30"/>
    <col min="9" max="11" width="11.6640625" style="30" customWidth="1"/>
    <col min="12" max="12" width="13.77734375" style="30" customWidth="1"/>
    <col min="13" max="17" width="11.6640625" style="30" customWidth="1"/>
    <col min="18" max="16384" width="9.109375" style="30"/>
  </cols>
  <sheetData>
    <row r="1" spans="1:17" ht="13.8">
      <c r="A1" s="148"/>
      <c r="B1" s="149"/>
    </row>
    <row r="2" spans="1:17">
      <c r="A2" s="148"/>
      <c r="B2" s="115" t="e">
        <f>"Working Capital Schedule for "&amp;#REF!</f>
        <v>#REF!</v>
      </c>
      <c r="C2" s="36"/>
      <c r="D2" s="36"/>
      <c r="E2" s="36"/>
      <c r="F2" s="36"/>
      <c r="G2" s="36"/>
      <c r="H2" s="36"/>
      <c r="I2" s="50"/>
      <c r="J2" s="50"/>
      <c r="K2" s="116"/>
      <c r="L2" s="50"/>
      <c r="M2" s="51" t="str">
        <f>"Projections ending "&amp;TEXT(Inputs!D9,"mmm dd")&amp;","</f>
        <v>Projections ending Dec 31,</v>
      </c>
      <c r="N2" s="50"/>
      <c r="O2" s="50"/>
      <c r="P2" s="50"/>
      <c r="Q2" s="50"/>
    </row>
    <row r="3" spans="1:17">
      <c r="A3" s="148"/>
      <c r="B3" s="48" t="e">
        <f>#REF!</f>
        <v>#REF!</v>
      </c>
      <c r="C3" s="49"/>
      <c r="D3" s="49"/>
      <c r="E3" s="49"/>
      <c r="F3" s="49"/>
      <c r="G3" s="49"/>
      <c r="H3" s="49"/>
      <c r="I3" s="36">
        <f>J3-1</f>
        <v>2014</v>
      </c>
      <c r="J3" s="36">
        <f>K3-1</f>
        <v>2015</v>
      </c>
      <c r="K3" s="117">
        <f>Inputs!D6</f>
        <v>2016</v>
      </c>
      <c r="L3" s="257" t="s">
        <v>280</v>
      </c>
      <c r="M3" s="89">
        <f>K3+1</f>
        <v>2017</v>
      </c>
      <c r="N3" s="89">
        <f>M3+1</f>
        <v>2018</v>
      </c>
      <c r="O3" s="89">
        <f>N3+1</f>
        <v>2019</v>
      </c>
      <c r="P3" s="89">
        <f>O3+1</f>
        <v>2020</v>
      </c>
      <c r="Q3" s="89">
        <f>P3+1</f>
        <v>2021</v>
      </c>
    </row>
    <row r="4" spans="1:17">
      <c r="J4" s="34"/>
      <c r="K4" s="35"/>
      <c r="L4" s="258"/>
      <c r="M4" s="34"/>
      <c r="N4" s="34"/>
      <c r="O4" s="34"/>
      <c r="P4" s="34"/>
      <c r="Q4" s="34"/>
    </row>
    <row r="5" spans="1:17">
      <c r="A5" s="41" t="s">
        <v>0</v>
      </c>
      <c r="B5" s="30" t="str">
        <f>IncomeStatement!B9</f>
        <v>Total Revenue</v>
      </c>
      <c r="I5" s="138">
        <f>IncomeStatement!H9</f>
        <v>0</v>
      </c>
      <c r="J5" s="138">
        <f>IncomeStatement!I9</f>
        <v>0</v>
      </c>
      <c r="K5" s="139">
        <f>IncomeStatement!J9</f>
        <v>0</v>
      </c>
      <c r="L5" s="139">
        <f>IncomeStatement!K9</f>
        <v>21.180900000000001</v>
      </c>
      <c r="M5" s="138">
        <f>IncomeStatement!L9</f>
        <v>230</v>
      </c>
      <c r="N5" s="138">
        <f>IncomeStatement!M9</f>
        <v>1380</v>
      </c>
      <c r="O5" s="138">
        <f>IncomeStatement!N9</f>
        <v>4140</v>
      </c>
      <c r="P5" s="138">
        <f>IncomeStatement!O9</f>
        <v>10350</v>
      </c>
      <c r="Q5" s="138">
        <f>IncomeStatement!P9</f>
        <v>19665</v>
      </c>
    </row>
    <row r="6" spans="1:17">
      <c r="B6" s="30" t="str">
        <f>IncomeStatement!B10</f>
        <v>Total Cost of Sales</v>
      </c>
      <c r="I6" s="140">
        <f>IncomeStatement!H10</f>
        <v>0</v>
      </c>
      <c r="J6" s="140">
        <f>IncomeStatement!I10</f>
        <v>0</v>
      </c>
      <c r="K6" s="141">
        <f>IncomeStatement!J10</f>
        <v>0</v>
      </c>
      <c r="L6" s="141">
        <f>IncomeStatement!K10</f>
        <v>19.183049999999998</v>
      </c>
      <c r="M6" s="140">
        <f>IncomeStatement!L10</f>
        <v>195.5</v>
      </c>
      <c r="N6" s="140">
        <f>IncomeStatement!M10</f>
        <v>1104</v>
      </c>
      <c r="O6" s="140">
        <f>IncomeStatement!N10</f>
        <v>3105</v>
      </c>
      <c r="P6" s="140">
        <f>IncomeStatement!O10</f>
        <v>7762.5</v>
      </c>
      <c r="Q6" s="140">
        <f>IncomeStatement!P10</f>
        <v>14748.75</v>
      </c>
    </row>
    <row r="7" spans="1:17">
      <c r="I7" s="34"/>
      <c r="J7" s="34"/>
      <c r="K7" s="35"/>
      <c r="L7" s="35"/>
      <c r="M7" s="34"/>
      <c r="N7" s="34"/>
      <c r="O7" s="34"/>
      <c r="P7" s="34"/>
      <c r="Q7" s="34"/>
    </row>
    <row r="8" spans="1:17">
      <c r="B8" s="111" t="s">
        <v>92</v>
      </c>
      <c r="I8" s="34"/>
      <c r="J8" s="34"/>
      <c r="K8" s="35"/>
      <c r="L8" s="35"/>
      <c r="M8" s="34"/>
      <c r="N8" s="34"/>
      <c r="O8" s="34"/>
      <c r="P8" s="34"/>
      <c r="Q8" s="34"/>
    </row>
    <row r="9" spans="1:17">
      <c r="C9" s="30" t="str">
        <f>BalanceSheet!B10</f>
        <v>Accounts Receivable</v>
      </c>
      <c r="I9" s="140">
        <f>BalanceSheet!H10</f>
        <v>0</v>
      </c>
      <c r="J9" s="140">
        <f>BalanceSheet!I10</f>
        <v>0</v>
      </c>
      <c r="K9" s="141">
        <f>BalanceSheet!J10</f>
        <v>0</v>
      </c>
      <c r="L9" s="141">
        <f>BalanceSheet!K10</f>
        <v>0</v>
      </c>
      <c r="M9" s="55">
        <f t="shared" ref="M9:Q10" si="0">M5*(M24/365)</f>
        <v>9.4520547945205475</v>
      </c>
      <c r="N9" s="55">
        <f t="shared" si="0"/>
        <v>56.712328767123282</v>
      </c>
      <c r="O9" s="55">
        <f t="shared" si="0"/>
        <v>170.13698630136986</v>
      </c>
      <c r="P9" s="55">
        <f t="shared" si="0"/>
        <v>425.34246575342462</v>
      </c>
      <c r="Q9" s="55">
        <f t="shared" si="0"/>
        <v>808.15068493150682</v>
      </c>
    </row>
    <row r="10" spans="1:17" hidden="1">
      <c r="C10" s="30" t="str">
        <f>BalanceSheet!B11</f>
        <v>Inventory</v>
      </c>
      <c r="I10" s="140">
        <f>BalanceSheet!H11</f>
        <v>0</v>
      </c>
      <c r="J10" s="140">
        <f>BalanceSheet!I11</f>
        <v>0</v>
      </c>
      <c r="K10" s="141">
        <f>BalanceSheet!J11</f>
        <v>0</v>
      </c>
      <c r="L10" s="141">
        <f>BalanceSheet!K11</f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5">
        <f t="shared" si="0"/>
        <v>0</v>
      </c>
      <c r="Q10" s="55">
        <f t="shared" si="0"/>
        <v>0</v>
      </c>
    </row>
    <row r="11" spans="1:17">
      <c r="C11" s="30" t="str">
        <f>BalanceSheet!B12</f>
        <v>Other Current Assets</v>
      </c>
      <c r="I11" s="140">
        <f>BalanceSheet!H12</f>
        <v>0</v>
      </c>
      <c r="J11" s="140">
        <f>BalanceSheet!I12</f>
        <v>0</v>
      </c>
      <c r="K11" s="150">
        <f>BalanceSheet!J12</f>
        <v>0</v>
      </c>
      <c r="L11" s="150">
        <f>BalanceSheet!K12</f>
        <v>0</v>
      </c>
      <c r="M11" s="55">
        <f>M5*M26</f>
        <v>0</v>
      </c>
      <c r="N11" s="55">
        <f>N5*N26</f>
        <v>0</v>
      </c>
      <c r="O11" s="55">
        <f>O5*O26</f>
        <v>0</v>
      </c>
      <c r="P11" s="55">
        <f>P5*P26</f>
        <v>0</v>
      </c>
      <c r="Q11" s="55">
        <f>Q5*Q26</f>
        <v>0</v>
      </c>
    </row>
    <row r="12" spans="1:17">
      <c r="A12" s="41" t="s">
        <v>0</v>
      </c>
      <c r="D12" s="30" t="s">
        <v>93</v>
      </c>
      <c r="I12" s="56">
        <f t="shared" ref="I12:Q12" si="1">SUM(I9:I11)</f>
        <v>0</v>
      </c>
      <c r="J12" s="56">
        <f t="shared" si="1"/>
        <v>0</v>
      </c>
      <c r="K12" s="57">
        <f t="shared" si="1"/>
        <v>0</v>
      </c>
      <c r="L12" s="57">
        <f t="shared" si="1"/>
        <v>0</v>
      </c>
      <c r="M12" s="56">
        <f t="shared" si="1"/>
        <v>9.4520547945205475</v>
      </c>
      <c r="N12" s="56">
        <f t="shared" si="1"/>
        <v>56.712328767123282</v>
      </c>
      <c r="O12" s="56">
        <f t="shared" si="1"/>
        <v>170.13698630136986</v>
      </c>
      <c r="P12" s="56">
        <f t="shared" si="1"/>
        <v>425.34246575342462</v>
      </c>
      <c r="Q12" s="56">
        <f t="shared" si="1"/>
        <v>808.15068493150682</v>
      </c>
    </row>
    <row r="13" spans="1:17">
      <c r="I13" s="34"/>
      <c r="J13" s="34"/>
      <c r="K13" s="35"/>
      <c r="L13" s="35"/>
      <c r="M13" s="34"/>
      <c r="N13" s="34"/>
      <c r="O13" s="34"/>
      <c r="P13" s="34"/>
      <c r="Q13" s="34"/>
    </row>
    <row r="14" spans="1:17">
      <c r="C14" s="30" t="str">
        <f>BalanceSheet!B22</f>
        <v>Accounts Payable</v>
      </c>
      <c r="I14" s="140">
        <f>BalanceSheet!H22</f>
        <v>0</v>
      </c>
      <c r="J14" s="140">
        <f>BalanceSheet!I22</f>
        <v>0</v>
      </c>
      <c r="K14" s="141">
        <f>BalanceSheet!J22</f>
        <v>0</v>
      </c>
      <c r="L14" s="141">
        <f>BalanceSheet!K22</f>
        <v>0</v>
      </c>
      <c r="M14" s="55">
        <f>M6*(M28/365)</f>
        <v>24.102739726027394</v>
      </c>
      <c r="N14" s="55">
        <f>N6*(N28/365)</f>
        <v>136.10958904109589</v>
      </c>
      <c r="O14" s="55">
        <f>O6*(O28/365)</f>
        <v>382.8082191780822</v>
      </c>
      <c r="P14" s="55">
        <f>P6*(P28/365)</f>
        <v>957.02054794520541</v>
      </c>
      <c r="Q14" s="55">
        <f>Q6*(Q28/365)</f>
        <v>1818.3390410958903</v>
      </c>
    </row>
    <row r="15" spans="1:17">
      <c r="C15" s="30" t="str">
        <f>BalanceSheet!B23</f>
        <v>Accrued Liabilities</v>
      </c>
      <c r="I15" s="140">
        <f>BalanceSheet!H23</f>
        <v>0</v>
      </c>
      <c r="J15" s="140">
        <f>BalanceSheet!I23</f>
        <v>0</v>
      </c>
      <c r="K15" s="141">
        <f>BalanceSheet!J23</f>
        <v>0</v>
      </c>
      <c r="L15" s="141">
        <f>BalanceSheet!K23</f>
        <v>0</v>
      </c>
      <c r="M15" s="55">
        <f t="shared" ref="M15:Q16" si="2">M$6*M29</f>
        <v>0</v>
      </c>
      <c r="N15" s="55">
        <f t="shared" si="2"/>
        <v>0</v>
      </c>
      <c r="O15" s="55">
        <f t="shared" si="2"/>
        <v>0</v>
      </c>
      <c r="P15" s="55">
        <f t="shared" si="2"/>
        <v>0</v>
      </c>
      <c r="Q15" s="55">
        <f t="shared" si="2"/>
        <v>0</v>
      </c>
    </row>
    <row r="16" spans="1:17">
      <c r="C16" s="30" t="str">
        <f>BalanceSheet!B25</f>
        <v>Other Current Liabilities</v>
      </c>
      <c r="I16" s="140">
        <f>BalanceSheet!H25</f>
        <v>0</v>
      </c>
      <c r="J16" s="140">
        <f>BalanceSheet!I25</f>
        <v>0</v>
      </c>
      <c r="K16" s="141">
        <f>BalanceSheet!J25</f>
        <v>0</v>
      </c>
      <c r="L16" s="141">
        <f>BalanceSheet!K25</f>
        <v>0</v>
      </c>
      <c r="M16" s="55">
        <f t="shared" si="2"/>
        <v>0</v>
      </c>
      <c r="N16" s="55">
        <f t="shared" si="2"/>
        <v>0</v>
      </c>
      <c r="O16" s="55">
        <f t="shared" si="2"/>
        <v>0</v>
      </c>
      <c r="P16" s="55">
        <f t="shared" si="2"/>
        <v>0</v>
      </c>
      <c r="Q16" s="55">
        <f t="shared" si="2"/>
        <v>0</v>
      </c>
    </row>
    <row r="17" spans="1:17">
      <c r="D17" s="30" t="s">
        <v>94</v>
      </c>
      <c r="I17" s="56">
        <f t="shared" ref="I17:Q17" si="3">SUM(I14:I16)</f>
        <v>0</v>
      </c>
      <c r="J17" s="56">
        <f t="shared" si="3"/>
        <v>0</v>
      </c>
      <c r="K17" s="57">
        <f t="shared" si="3"/>
        <v>0</v>
      </c>
      <c r="L17" s="57">
        <f t="shared" ref="L17" si="4">SUM(L14:L16)</f>
        <v>0</v>
      </c>
      <c r="M17" s="56">
        <f t="shared" si="3"/>
        <v>24.102739726027394</v>
      </c>
      <c r="N17" s="56">
        <f t="shared" si="3"/>
        <v>136.10958904109589</v>
      </c>
      <c r="O17" s="56">
        <f t="shared" si="3"/>
        <v>382.8082191780822</v>
      </c>
      <c r="P17" s="56">
        <f t="shared" si="3"/>
        <v>957.02054794520541</v>
      </c>
      <c r="Q17" s="56">
        <f t="shared" si="3"/>
        <v>1818.3390410958903</v>
      </c>
    </row>
    <row r="18" spans="1:17">
      <c r="I18" s="34"/>
      <c r="J18" s="34"/>
      <c r="K18" s="35"/>
      <c r="L18" s="35"/>
      <c r="M18" s="34"/>
      <c r="N18" s="34"/>
      <c r="O18" s="34"/>
      <c r="P18" s="34"/>
      <c r="Q18" s="34"/>
    </row>
    <row r="19" spans="1:17">
      <c r="A19" s="41" t="s">
        <v>0</v>
      </c>
      <c r="B19" s="33" t="s">
        <v>95</v>
      </c>
      <c r="I19" s="46">
        <f t="shared" ref="I19:Q19" si="5">I12-I17</f>
        <v>0</v>
      </c>
      <c r="J19" s="46">
        <f t="shared" si="5"/>
        <v>0</v>
      </c>
      <c r="K19" s="91">
        <f t="shared" si="5"/>
        <v>0</v>
      </c>
      <c r="L19" s="91">
        <f t="shared" ref="L19" si="6">L12-L17</f>
        <v>0</v>
      </c>
      <c r="M19" s="46">
        <f t="shared" si="5"/>
        <v>-14.650684931506847</v>
      </c>
      <c r="N19" s="46">
        <f t="shared" si="5"/>
        <v>-79.397260273972606</v>
      </c>
      <c r="O19" s="46">
        <f t="shared" si="5"/>
        <v>-212.67123287671234</v>
      </c>
      <c r="P19" s="46">
        <f t="shared" si="5"/>
        <v>-531.67808219178073</v>
      </c>
      <c r="Q19" s="46">
        <f t="shared" si="5"/>
        <v>-1010.1883561643834</v>
      </c>
    </row>
    <row r="20" spans="1:17">
      <c r="I20" s="34"/>
      <c r="J20" s="34"/>
      <c r="K20" s="35"/>
      <c r="L20" s="35"/>
      <c r="M20" s="34"/>
      <c r="N20" s="34"/>
      <c r="O20" s="34"/>
      <c r="P20" s="34"/>
      <c r="Q20" s="34"/>
    </row>
    <row r="21" spans="1:17">
      <c r="B21" s="33" t="s">
        <v>96</v>
      </c>
      <c r="C21" s="33"/>
      <c r="D21" s="33"/>
      <c r="E21" s="33"/>
      <c r="F21" s="33"/>
      <c r="G21" s="33"/>
      <c r="H21" s="33"/>
      <c r="I21" s="46"/>
      <c r="J21" s="46">
        <f t="shared" ref="J21:Q21" si="7">I19-J19</f>
        <v>0</v>
      </c>
      <c r="K21" s="91">
        <f t="shared" si="7"/>
        <v>0</v>
      </c>
      <c r="L21" s="91">
        <f t="shared" si="7"/>
        <v>0</v>
      </c>
      <c r="M21" s="46">
        <f>K19-M19</f>
        <v>14.650684931506847</v>
      </c>
      <c r="N21" s="46">
        <f t="shared" si="7"/>
        <v>64.746575342465761</v>
      </c>
      <c r="O21" s="46">
        <f t="shared" si="7"/>
        <v>133.27397260273972</v>
      </c>
      <c r="P21" s="46">
        <f t="shared" si="7"/>
        <v>319.00684931506839</v>
      </c>
      <c r="Q21" s="46">
        <f t="shared" si="7"/>
        <v>478.5102739726027</v>
      </c>
    </row>
    <row r="22" spans="1:17">
      <c r="I22" s="34"/>
      <c r="J22" s="34"/>
      <c r="K22" s="35"/>
      <c r="L22" s="35"/>
      <c r="M22" s="34"/>
      <c r="N22" s="34"/>
      <c r="O22" s="34"/>
      <c r="P22" s="34"/>
      <c r="Q22" s="34"/>
    </row>
    <row r="23" spans="1:17">
      <c r="B23" s="111" t="s">
        <v>97</v>
      </c>
      <c r="I23" s="34"/>
      <c r="J23" s="34"/>
      <c r="K23" s="35"/>
      <c r="L23" s="35"/>
      <c r="M23" s="34"/>
      <c r="N23" s="34"/>
      <c r="O23" s="34"/>
      <c r="P23" s="34"/>
      <c r="Q23" s="34"/>
    </row>
    <row r="24" spans="1:17">
      <c r="A24" s="41" t="s">
        <v>0</v>
      </c>
      <c r="C24" s="30" t="str">
        <f>C9&amp;" (collection period in days)"</f>
        <v>Accounts Receivable (collection period in days)</v>
      </c>
      <c r="I24" s="55" t="e">
        <f t="shared" ref="I24:K25" si="8">(I9/I5)*365</f>
        <v>#DIV/0!</v>
      </c>
      <c r="J24" s="55" t="e">
        <f t="shared" si="8"/>
        <v>#DIV/0!</v>
      </c>
      <c r="K24" s="63" t="e">
        <f t="shared" si="8"/>
        <v>#DIV/0!</v>
      </c>
      <c r="L24" s="63">
        <v>15</v>
      </c>
      <c r="M24" s="112">
        <f t="shared" ref="M24:M30" si="9">L24</f>
        <v>15</v>
      </c>
      <c r="N24" s="55">
        <f t="shared" ref="N24:Q26" si="10">M24</f>
        <v>15</v>
      </c>
      <c r="O24" s="55">
        <f t="shared" si="10"/>
        <v>15</v>
      </c>
      <c r="P24" s="55">
        <f t="shared" si="10"/>
        <v>15</v>
      </c>
      <c r="Q24" s="55">
        <f t="shared" si="10"/>
        <v>15</v>
      </c>
    </row>
    <row r="25" spans="1:17">
      <c r="C25" s="30" t="str">
        <f>C10&amp;" (days outstanding)"</f>
        <v>Inventory (days outstanding)</v>
      </c>
      <c r="I25" s="55" t="e">
        <f t="shared" si="8"/>
        <v>#DIV/0!</v>
      </c>
      <c r="J25" s="55" t="e">
        <f t="shared" si="8"/>
        <v>#DIV/0!</v>
      </c>
      <c r="K25" s="63" t="e">
        <f t="shared" si="8"/>
        <v>#DIV/0!</v>
      </c>
      <c r="L25" s="63">
        <f t="shared" ref="L25" si="11">(L10/L6)*365</f>
        <v>0</v>
      </c>
      <c r="M25" s="112">
        <f t="shared" si="9"/>
        <v>0</v>
      </c>
      <c r="N25" s="55">
        <f t="shared" ref="N25" si="12">M25</f>
        <v>0</v>
      </c>
      <c r="O25" s="55">
        <f t="shared" ref="O25" si="13">N25</f>
        <v>0</v>
      </c>
      <c r="P25" s="55">
        <f t="shared" ref="P25" si="14">O25</f>
        <v>0</v>
      </c>
      <c r="Q25" s="55">
        <f t="shared" ref="Q25" si="15">P25</f>
        <v>0</v>
      </c>
    </row>
    <row r="26" spans="1:17">
      <c r="C26" s="30" t="str">
        <f>C11&amp;" (as % of sales)"</f>
        <v>Other Current Assets (as % of sales)</v>
      </c>
      <c r="I26" s="110" t="e">
        <f>I11/I5</f>
        <v>#DIV/0!</v>
      </c>
      <c r="J26" s="44" t="e">
        <f>J11/J5</f>
        <v>#DIV/0!</v>
      </c>
      <c r="K26" s="81" t="e">
        <f>K11/K5</f>
        <v>#DIV/0!</v>
      </c>
      <c r="L26" s="81">
        <f>L11/L5</f>
        <v>0</v>
      </c>
      <c r="M26" s="112">
        <f t="shared" si="9"/>
        <v>0</v>
      </c>
      <c r="N26" s="44">
        <f t="shared" si="10"/>
        <v>0</v>
      </c>
      <c r="O26" s="44">
        <f t="shared" si="10"/>
        <v>0</v>
      </c>
      <c r="P26" s="44">
        <f t="shared" si="10"/>
        <v>0</v>
      </c>
      <c r="Q26" s="44">
        <f t="shared" si="10"/>
        <v>0</v>
      </c>
    </row>
    <row r="27" spans="1:17">
      <c r="I27" s="34"/>
      <c r="J27" s="34"/>
      <c r="K27" s="35"/>
      <c r="L27" s="35"/>
      <c r="M27" s="112">
        <f t="shared" si="9"/>
        <v>0</v>
      </c>
      <c r="N27" s="34"/>
      <c r="O27" s="34"/>
      <c r="P27" s="34"/>
      <c r="Q27" s="34"/>
    </row>
    <row r="28" spans="1:17">
      <c r="C28" s="30" t="str">
        <f>C14&amp;" (days outstanding)"</f>
        <v>Accounts Payable (days outstanding)</v>
      </c>
      <c r="I28" s="55" t="e">
        <f>(I14/I6)*365</f>
        <v>#DIV/0!</v>
      </c>
      <c r="J28" s="55" t="e">
        <f>(J14/J6)*365</f>
        <v>#DIV/0!</v>
      </c>
      <c r="K28" s="63" t="e">
        <f>(K14/K6)*365</f>
        <v>#DIV/0!</v>
      </c>
      <c r="L28" s="63">
        <v>45</v>
      </c>
      <c r="M28" s="112">
        <f t="shared" si="9"/>
        <v>45</v>
      </c>
      <c r="N28" s="55">
        <f t="shared" ref="N28:Q30" si="16">M28</f>
        <v>45</v>
      </c>
      <c r="O28" s="55">
        <f t="shared" si="16"/>
        <v>45</v>
      </c>
      <c r="P28" s="55">
        <f t="shared" si="16"/>
        <v>45</v>
      </c>
      <c r="Q28" s="55">
        <f t="shared" si="16"/>
        <v>45</v>
      </c>
    </row>
    <row r="29" spans="1:17">
      <c r="C29" s="30" t="str">
        <f>C15&amp;" (as % of cost of sales)"</f>
        <v>Accrued Liabilities (as % of cost of sales)</v>
      </c>
      <c r="I29" s="44" t="e">
        <f t="shared" ref="I29:J29" si="17">I15/I$6</f>
        <v>#DIV/0!</v>
      </c>
      <c r="J29" s="44" t="e">
        <f t="shared" si="17"/>
        <v>#DIV/0!</v>
      </c>
      <c r="K29" s="81" t="e">
        <f>K15/K$6</f>
        <v>#DIV/0!</v>
      </c>
      <c r="L29" s="81">
        <f>L15/L$6</f>
        <v>0</v>
      </c>
      <c r="M29" s="112">
        <f t="shared" si="9"/>
        <v>0</v>
      </c>
      <c r="N29" s="44">
        <f t="shared" si="16"/>
        <v>0</v>
      </c>
      <c r="O29" s="44">
        <f t="shared" si="16"/>
        <v>0</v>
      </c>
      <c r="P29" s="44">
        <f t="shared" si="16"/>
        <v>0</v>
      </c>
      <c r="Q29" s="44">
        <f t="shared" si="16"/>
        <v>0</v>
      </c>
    </row>
    <row r="30" spans="1:17">
      <c r="A30" s="41" t="s">
        <v>0</v>
      </c>
      <c r="C30" s="30" t="str">
        <f>C16&amp;" (as % of cost of sales)"</f>
        <v>Other Current Liabilities (as % of cost of sales)</v>
      </c>
      <c r="I30" s="44" t="e">
        <f t="shared" ref="I30:J30" si="18">I16/I$6</f>
        <v>#DIV/0!</v>
      </c>
      <c r="J30" s="44" t="e">
        <f t="shared" si="18"/>
        <v>#DIV/0!</v>
      </c>
      <c r="K30" s="81" t="e">
        <f>K16/K$6</f>
        <v>#DIV/0!</v>
      </c>
      <c r="L30" s="81">
        <f>L16/L$6</f>
        <v>0</v>
      </c>
      <c r="M30" s="112">
        <f t="shared" si="9"/>
        <v>0</v>
      </c>
      <c r="N30" s="44">
        <f t="shared" si="16"/>
        <v>0</v>
      </c>
      <c r="O30" s="44">
        <f t="shared" si="16"/>
        <v>0</v>
      </c>
      <c r="P30" s="44">
        <f t="shared" si="16"/>
        <v>0</v>
      </c>
      <c r="Q30" s="44">
        <f t="shared" si="16"/>
        <v>0</v>
      </c>
    </row>
    <row r="31" spans="1:17">
      <c r="J31" s="34"/>
      <c r="K31" s="35"/>
      <c r="L31" s="35"/>
      <c r="M31" s="34"/>
      <c r="N31" s="34"/>
      <c r="O31" s="34"/>
      <c r="P31" s="34"/>
      <c r="Q31" s="34"/>
    </row>
    <row r="32" spans="1:17">
      <c r="B32" s="111" t="s">
        <v>98</v>
      </c>
      <c r="J32" s="34"/>
      <c r="K32" s="35"/>
      <c r="L32" s="35"/>
      <c r="M32" s="34"/>
      <c r="N32" s="34"/>
      <c r="O32" s="34"/>
      <c r="P32" s="34"/>
      <c r="Q32" s="34"/>
    </row>
    <row r="33" spans="1:17">
      <c r="C33" s="30" t="str">
        <f>C9</f>
        <v>Accounts Receivable</v>
      </c>
      <c r="J33" s="55">
        <f t="shared" ref="J33:Q33" si="19">I9-J9</f>
        <v>0</v>
      </c>
      <c r="K33" s="63">
        <f t="shared" si="19"/>
        <v>0</v>
      </c>
      <c r="L33" s="63">
        <f t="shared" si="19"/>
        <v>0</v>
      </c>
      <c r="M33" s="55">
        <f>K9-M9</f>
        <v>-9.4520547945205475</v>
      </c>
      <c r="N33" s="55">
        <f t="shared" si="19"/>
        <v>-47.260273972602732</v>
      </c>
      <c r="O33" s="55">
        <f t="shared" si="19"/>
        <v>-113.42465753424658</v>
      </c>
      <c r="P33" s="55">
        <f t="shared" si="19"/>
        <v>-255.20547945205476</v>
      </c>
      <c r="Q33" s="55">
        <f t="shared" si="19"/>
        <v>-382.8082191780822</v>
      </c>
    </row>
    <row r="34" spans="1:17">
      <c r="C34" s="30" t="str">
        <f>C10</f>
        <v>Inventory</v>
      </c>
      <c r="J34" s="55">
        <f t="shared" ref="J34" si="20">I10-J10</f>
        <v>0</v>
      </c>
      <c r="K34" s="63">
        <f t="shared" ref="K34:L34" si="21">J10-K10</f>
        <v>0</v>
      </c>
      <c r="L34" s="63">
        <f t="shared" si="21"/>
        <v>0</v>
      </c>
      <c r="M34" s="55">
        <f t="shared" ref="M34" si="22">K10-M10</f>
        <v>0</v>
      </c>
      <c r="N34" s="55">
        <f t="shared" ref="N34" si="23">M10-N10</f>
        <v>0</v>
      </c>
      <c r="O34" s="55">
        <f t="shared" ref="O34" si="24">N10-O10</f>
        <v>0</v>
      </c>
      <c r="P34" s="55">
        <f t="shared" ref="P34" si="25">O10-P10</f>
        <v>0</v>
      </c>
      <c r="Q34" s="55">
        <f t="shared" ref="Q34" si="26">P10-Q10</f>
        <v>0</v>
      </c>
    </row>
    <row r="35" spans="1:17">
      <c r="C35" s="30" t="str">
        <f>C11</f>
        <v>Other Current Assets</v>
      </c>
      <c r="J35" s="55">
        <f>I11-J11</f>
        <v>0</v>
      </c>
      <c r="K35" s="63">
        <f>J11-K11</f>
        <v>0</v>
      </c>
      <c r="L35" s="63">
        <f>K11-L11</f>
        <v>0</v>
      </c>
      <c r="M35" s="55">
        <f>K11-M11</f>
        <v>0</v>
      </c>
      <c r="N35" s="55">
        <f>M11-N11</f>
        <v>0</v>
      </c>
      <c r="O35" s="55">
        <f>N11-O11</f>
        <v>0</v>
      </c>
      <c r="P35" s="55">
        <f>O11-P11</f>
        <v>0</v>
      </c>
      <c r="Q35" s="55">
        <f>P11-Q11</f>
        <v>0</v>
      </c>
    </row>
    <row r="36" spans="1:17">
      <c r="C36" s="30" t="str">
        <f>C14</f>
        <v>Accounts Payable</v>
      </c>
      <c r="J36" s="55">
        <f t="shared" ref="J36:Q37" si="27">J14-I14</f>
        <v>0</v>
      </c>
      <c r="K36" s="63">
        <f t="shared" si="27"/>
        <v>0</v>
      </c>
      <c r="L36" s="63">
        <f t="shared" si="27"/>
        <v>0</v>
      </c>
      <c r="M36" s="55">
        <f>M14-K14</f>
        <v>24.102739726027394</v>
      </c>
      <c r="N36" s="55">
        <f t="shared" si="27"/>
        <v>112.00684931506849</v>
      </c>
      <c r="O36" s="55">
        <f t="shared" si="27"/>
        <v>246.69863013698631</v>
      </c>
      <c r="P36" s="55">
        <f t="shared" si="27"/>
        <v>574.21232876712315</v>
      </c>
      <c r="Q36" s="55">
        <f t="shared" si="27"/>
        <v>861.31849315068484</v>
      </c>
    </row>
    <row r="37" spans="1:17">
      <c r="C37" s="30" t="str">
        <f>C15</f>
        <v>Accrued Liabilities</v>
      </c>
      <c r="J37" s="55">
        <f t="shared" si="27"/>
        <v>0</v>
      </c>
      <c r="K37" s="63">
        <f t="shared" si="27"/>
        <v>0</v>
      </c>
      <c r="L37" s="63">
        <f t="shared" si="27"/>
        <v>0</v>
      </c>
      <c r="M37" s="55">
        <f>M15-K15</f>
        <v>0</v>
      </c>
      <c r="N37" s="55">
        <f t="shared" si="27"/>
        <v>0</v>
      </c>
      <c r="O37" s="55">
        <f t="shared" si="27"/>
        <v>0</v>
      </c>
      <c r="P37" s="55">
        <f t="shared" si="27"/>
        <v>0</v>
      </c>
      <c r="Q37" s="55">
        <f t="shared" si="27"/>
        <v>0</v>
      </c>
    </row>
    <row r="38" spans="1:17">
      <c r="C38" s="30" t="str">
        <f>C16</f>
        <v>Other Current Liabilities</v>
      </c>
      <c r="J38" s="55">
        <f t="shared" ref="J38:Q38" si="28">J16-I16</f>
        <v>0</v>
      </c>
      <c r="K38" s="63">
        <f t="shared" si="28"/>
        <v>0</v>
      </c>
      <c r="L38" s="63">
        <f t="shared" si="28"/>
        <v>0</v>
      </c>
      <c r="M38" s="55">
        <f>M16-K16</f>
        <v>0</v>
      </c>
      <c r="N38" s="55">
        <f t="shared" si="28"/>
        <v>0</v>
      </c>
      <c r="O38" s="55">
        <f t="shared" si="28"/>
        <v>0</v>
      </c>
      <c r="P38" s="55">
        <f t="shared" si="28"/>
        <v>0</v>
      </c>
      <c r="Q38" s="55">
        <f t="shared" si="28"/>
        <v>0</v>
      </c>
    </row>
    <row r="39" spans="1:17">
      <c r="D39" s="33" t="str">
        <f>B21</f>
        <v>Net (Increase) / Decrease in Working Capital</v>
      </c>
      <c r="J39" s="60">
        <f t="shared" ref="J39:Q39" si="29">SUM(J33:J38)</f>
        <v>0</v>
      </c>
      <c r="K39" s="61">
        <f t="shared" si="29"/>
        <v>0</v>
      </c>
      <c r="L39" s="61">
        <f t="shared" ref="L39" si="30">SUM(L33:L38)</f>
        <v>0</v>
      </c>
      <c r="M39" s="60">
        <f t="shared" si="29"/>
        <v>14.650684931506847</v>
      </c>
      <c r="N39" s="60">
        <f t="shared" si="29"/>
        <v>64.746575342465761</v>
      </c>
      <c r="O39" s="60">
        <f t="shared" si="29"/>
        <v>133.27397260273972</v>
      </c>
      <c r="P39" s="60">
        <f t="shared" si="29"/>
        <v>319.00684931506839</v>
      </c>
      <c r="Q39" s="60">
        <f t="shared" si="29"/>
        <v>478.51027397260265</v>
      </c>
    </row>
    <row r="40" spans="1:17">
      <c r="A40" s="41" t="s">
        <v>0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39"/>
      <c r="N40" s="39"/>
      <c r="O40" s="39"/>
      <c r="P40" s="39"/>
      <c r="Q40" s="39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3300"/>
  </sheetPr>
  <dimension ref="A1:W366"/>
  <sheetViews>
    <sheetView showGridLines="0" topLeftCell="A47" workbookViewId="0">
      <selection activeCell="L43" sqref="L43"/>
    </sheetView>
  </sheetViews>
  <sheetFormatPr defaultColWidth="9.109375" defaultRowHeight="13.2"/>
  <cols>
    <col min="1" max="1" width="5.6640625" style="41" customWidth="1"/>
    <col min="2" max="4" width="2.6640625" style="30" customWidth="1"/>
    <col min="5" max="8" width="9.109375" style="30"/>
    <col min="9" max="16" width="11.6640625" style="30" customWidth="1"/>
    <col min="17" max="16384" width="9.109375" style="30"/>
  </cols>
  <sheetData>
    <row r="1" spans="1:23" ht="13.8">
      <c r="B1" s="149"/>
    </row>
    <row r="2" spans="1:23">
      <c r="A2" s="148"/>
      <c r="B2" s="115" t="str">
        <f>"Debt and Interest Schedule for "&amp;Inputs!D5</f>
        <v>Debt and Interest Schedule for ACME, Inc.</v>
      </c>
      <c r="C2" s="36"/>
      <c r="D2" s="36"/>
      <c r="E2" s="36"/>
      <c r="F2" s="36"/>
      <c r="G2" s="36"/>
      <c r="H2" s="36"/>
      <c r="I2" s="50"/>
      <c r="J2" s="50"/>
      <c r="K2" s="116"/>
      <c r="L2" s="51" t="str">
        <f>"Projections ending "&amp;TEXT(Inputs!D9,"mmm dd")&amp;","</f>
        <v>Projections ending Dec 31,</v>
      </c>
      <c r="M2" s="50"/>
      <c r="N2" s="50"/>
      <c r="O2" s="50"/>
      <c r="P2" s="50"/>
    </row>
    <row r="3" spans="1:23">
      <c r="A3" s="148"/>
      <c r="B3" s="48" t="str">
        <f>Inputs!D8</f>
        <v>In thousands of dollars (000)</v>
      </c>
      <c r="C3" s="49"/>
      <c r="D3" s="49"/>
      <c r="E3" s="49"/>
      <c r="F3" s="49"/>
      <c r="G3" s="49"/>
      <c r="H3" s="49"/>
      <c r="I3" s="36">
        <f>J3-1</f>
        <v>2014</v>
      </c>
      <c r="J3" s="36">
        <f>K3-1</f>
        <v>2015</v>
      </c>
      <c r="K3" s="117">
        <f>Inputs!D6</f>
        <v>2016</v>
      </c>
      <c r="L3" s="89">
        <f>K3+1</f>
        <v>2017</v>
      </c>
      <c r="M3" s="89">
        <f>L3+1</f>
        <v>2018</v>
      </c>
      <c r="N3" s="89">
        <f>M3+1</f>
        <v>2019</v>
      </c>
      <c r="O3" s="89">
        <f>N3+1</f>
        <v>2020</v>
      </c>
      <c r="P3" s="89">
        <f>O3+1</f>
        <v>2021</v>
      </c>
    </row>
    <row r="4" spans="1:23">
      <c r="I4" s="34"/>
      <c r="J4" s="34"/>
      <c r="K4" s="35"/>
      <c r="L4" s="34"/>
      <c r="M4" s="34"/>
      <c r="N4" s="34"/>
      <c r="O4" s="34"/>
      <c r="P4" s="34"/>
    </row>
    <row r="5" spans="1:23">
      <c r="B5" s="30" t="s">
        <v>60</v>
      </c>
      <c r="I5" s="34"/>
      <c r="J5" s="34"/>
      <c r="K5" s="35"/>
      <c r="L5" s="140">
        <f ca="1">CashFlow!K20</f>
        <v>-685.22342496711747</v>
      </c>
      <c r="M5" s="140">
        <f ca="1">CashFlow!L20</f>
        <v>-892.761880302436</v>
      </c>
      <c r="N5" s="140">
        <f ca="1">CashFlow!M20</f>
        <v>-644.01620244332776</v>
      </c>
      <c r="O5" s="140">
        <f ca="1">CashFlow!N20</f>
        <v>489.18741511060455</v>
      </c>
      <c r="P5" s="140">
        <f ca="1">CashFlow!O20</f>
        <v>1865.4399035287165</v>
      </c>
    </row>
    <row r="6" spans="1:23">
      <c r="A6" s="41" t="s">
        <v>0</v>
      </c>
      <c r="C6" s="151" t="s">
        <v>101</v>
      </c>
      <c r="D6" s="151"/>
      <c r="E6" s="151"/>
      <c r="F6" s="151"/>
      <c r="I6" s="34"/>
      <c r="J6" s="34"/>
      <c r="K6" s="35"/>
      <c r="L6" s="140">
        <f>'D-E'!L73</f>
        <v>0</v>
      </c>
      <c r="M6" s="140">
        <f>'D-E'!M73</f>
        <v>1500</v>
      </c>
      <c r="N6" s="140">
        <f>'D-E'!N73</f>
        <v>0</v>
      </c>
      <c r="O6" s="140">
        <f>'D-E'!O73</f>
        <v>0</v>
      </c>
      <c r="P6" s="140">
        <f>'D-E'!P73</f>
        <v>0</v>
      </c>
    </row>
    <row r="7" spans="1:23">
      <c r="C7" s="30" t="s">
        <v>102</v>
      </c>
      <c r="I7" s="34"/>
      <c r="J7" s="34"/>
      <c r="K7" s="35"/>
      <c r="L7" s="140">
        <f>'D-E'!L74</f>
        <v>0</v>
      </c>
      <c r="M7" s="140">
        <f>'D-E'!M74</f>
        <v>0</v>
      </c>
      <c r="N7" s="140">
        <f>'D-E'!N74</f>
        <v>0</v>
      </c>
      <c r="O7" s="140">
        <f>'D-E'!O74</f>
        <v>0</v>
      </c>
      <c r="P7" s="140">
        <f>'D-E'!P74</f>
        <v>0</v>
      </c>
    </row>
    <row r="8" spans="1:23">
      <c r="C8" s="30" t="s">
        <v>108</v>
      </c>
      <c r="I8" s="34"/>
      <c r="J8" s="34"/>
      <c r="K8" s="35"/>
      <c r="L8" s="140">
        <f>CashFlow!K27</f>
        <v>570.19756000000007</v>
      </c>
      <c r="M8" s="140">
        <f ca="1">CashFlow!L27</f>
        <v>-746.57317496711744</v>
      </c>
      <c r="N8" s="140">
        <f ca="1">CashFlow!M27</f>
        <v>-139.33505526955344</v>
      </c>
      <c r="O8" s="140">
        <f ca="1">CashFlow!N27</f>
        <v>-783.35125771288119</v>
      </c>
      <c r="P8" s="140">
        <f ca="1">CashFlow!O27</f>
        <v>-294.16384260227665</v>
      </c>
      <c r="R8" s="152"/>
      <c r="S8" s="152"/>
      <c r="T8" s="152"/>
      <c r="U8" s="152"/>
      <c r="V8" s="152"/>
    </row>
    <row r="9" spans="1:23">
      <c r="A9" s="41" t="s">
        <v>0</v>
      </c>
      <c r="B9" s="30" t="s">
        <v>109</v>
      </c>
      <c r="I9" s="34"/>
      <c r="J9" s="34"/>
      <c r="K9" s="35"/>
      <c r="L9" s="56">
        <f ca="1">SUM(L5:L8)</f>
        <v>-115.0258649671174</v>
      </c>
      <c r="M9" s="56">
        <f ca="1">SUM(M5:M8)</f>
        <v>-139.33505526955344</v>
      </c>
      <c r="N9" s="56">
        <f ca="1">SUM(N5:N8)</f>
        <v>-783.35125771288119</v>
      </c>
      <c r="O9" s="56">
        <f ca="1">SUM(O5:O8)</f>
        <v>-294.16384260227665</v>
      </c>
      <c r="P9" s="56">
        <f ca="1">SUM(P5:P8)</f>
        <v>1571.2760609264399</v>
      </c>
    </row>
    <row r="10" spans="1:23">
      <c r="B10" s="33"/>
      <c r="C10" s="30" t="s">
        <v>110</v>
      </c>
      <c r="I10" s="34"/>
      <c r="J10" s="34"/>
      <c r="K10" s="35"/>
      <c r="L10" s="64">
        <f>L16+L30+L23+L37</f>
        <v>0</v>
      </c>
      <c r="M10" s="64">
        <f t="shared" ref="M10:P10" si="0">M16+M30+M23+M37</f>
        <v>0</v>
      </c>
      <c r="N10" s="64">
        <f t="shared" si="0"/>
        <v>0</v>
      </c>
      <c r="O10" s="64">
        <f t="shared" si="0"/>
        <v>0</v>
      </c>
      <c r="P10" s="64">
        <f t="shared" si="0"/>
        <v>0</v>
      </c>
    </row>
    <row r="11" spans="1:23">
      <c r="B11" s="153"/>
      <c r="C11" s="151" t="s">
        <v>111</v>
      </c>
      <c r="I11" s="34"/>
      <c r="J11" s="34"/>
      <c r="K11" s="35"/>
      <c r="L11" s="55">
        <f>L17+L31+L24+L38</f>
        <v>-631.54731000000004</v>
      </c>
      <c r="M11" s="55">
        <f t="shared" ref="M11:P11" si="1">M17+M31+M24+M38</f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</row>
    <row r="12" spans="1:23">
      <c r="B12" s="154"/>
      <c r="C12" s="38"/>
      <c r="D12" s="39"/>
      <c r="E12" s="39"/>
      <c r="F12" s="39"/>
      <c r="G12" s="39"/>
      <c r="H12" s="39"/>
      <c r="I12" s="39"/>
      <c r="J12" s="39"/>
      <c r="K12" s="40"/>
      <c r="L12" s="73"/>
      <c r="M12" s="73"/>
      <c r="N12" s="73"/>
      <c r="O12" s="73"/>
      <c r="P12" s="73"/>
    </row>
    <row r="13" spans="1:23">
      <c r="I13" s="34"/>
      <c r="J13" s="34"/>
      <c r="K13" s="35"/>
      <c r="L13" s="34"/>
      <c r="M13" s="34"/>
      <c r="N13" s="34"/>
      <c r="O13" s="34"/>
      <c r="P13" s="34"/>
    </row>
    <row r="14" spans="1:23">
      <c r="B14" s="155" t="str">
        <f>BalanceSheet!B28</f>
        <v>Long-Term Debt</v>
      </c>
      <c r="I14" s="34"/>
      <c r="J14" s="34"/>
      <c r="K14" s="35"/>
      <c r="L14" s="34"/>
      <c r="M14" s="34"/>
      <c r="N14" s="34"/>
      <c r="O14" s="34"/>
      <c r="P14" s="34"/>
    </row>
    <row r="15" spans="1:23">
      <c r="A15" s="41" t="s">
        <v>0</v>
      </c>
      <c r="B15" s="101" t="s">
        <v>112</v>
      </c>
      <c r="I15" s="34"/>
      <c r="J15" s="34"/>
      <c r="K15" s="35"/>
      <c r="L15" s="55">
        <f>K18</f>
        <v>0</v>
      </c>
      <c r="M15" s="55">
        <f>L18</f>
        <v>0</v>
      </c>
      <c r="N15" s="55">
        <f>M18</f>
        <v>0</v>
      </c>
      <c r="O15" s="55">
        <f>N18</f>
        <v>0</v>
      </c>
      <c r="P15" s="55">
        <f>O18</f>
        <v>0</v>
      </c>
      <c r="S15" s="43"/>
      <c r="T15" s="43"/>
      <c r="U15" s="43"/>
      <c r="V15" s="43"/>
      <c r="W15" s="43"/>
    </row>
    <row r="16" spans="1:23">
      <c r="C16" s="101" t="s">
        <v>113</v>
      </c>
      <c r="F16" s="156"/>
      <c r="H16" s="157"/>
      <c r="I16" s="34"/>
      <c r="J16" s="34"/>
      <c r="K16" s="35"/>
      <c r="L16" s="112">
        <v>0</v>
      </c>
      <c r="M16" s="112">
        <v>0</v>
      </c>
      <c r="N16" s="112">
        <v>0</v>
      </c>
      <c r="O16" s="112">
        <v>0</v>
      </c>
      <c r="P16" s="112">
        <v>0</v>
      </c>
    </row>
    <row r="17" spans="1:16">
      <c r="C17" s="101" t="s">
        <v>114</v>
      </c>
      <c r="I17" s="34"/>
      <c r="J17" s="34"/>
      <c r="K17" s="35"/>
      <c r="L17" s="64">
        <f>IF(L15&lt;=0,0,(-$K$18/$G$19)-(L16/$G$19))</f>
        <v>0</v>
      </c>
      <c r="M17" s="64">
        <f>IF(M15&lt;=0,0,(-$K$18/$G$19)-(M16/$G$19))</f>
        <v>0</v>
      </c>
      <c r="N17" s="64">
        <f>IF(N15&lt;=0,0,(-$K$18/$G$19)-(N16/$G$19))</f>
        <v>0</v>
      </c>
      <c r="O17" s="64">
        <f>IF(O15&lt;=0,0,(-$K$18/$G$19)-(O16/$G$19))</f>
        <v>0</v>
      </c>
      <c r="P17" s="64">
        <f>IF(P15&lt;=0,0,(-$K$18/$G$19)-(P16/$G$19))</f>
        <v>0</v>
      </c>
    </row>
    <row r="18" spans="1:16">
      <c r="B18" s="101" t="s">
        <v>115</v>
      </c>
      <c r="I18" s="158">
        <f>BalanceSheet!H28</f>
        <v>0</v>
      </c>
      <c r="J18" s="158">
        <f>BalanceSheet!I28</f>
        <v>0</v>
      </c>
      <c r="K18" s="159">
        <f>BalanceSheet!J28</f>
        <v>0</v>
      </c>
      <c r="L18" s="56">
        <f>SUM(L15:L17)</f>
        <v>0</v>
      </c>
      <c r="M18" s="56">
        <f>SUM(M15:M17)</f>
        <v>0</v>
      </c>
      <c r="N18" s="56">
        <f>SUM(N15:N17)</f>
        <v>0</v>
      </c>
      <c r="O18" s="56">
        <f>SUM(O15:O17)</f>
        <v>0</v>
      </c>
      <c r="P18" s="56">
        <f>SUM(P15:P17)</f>
        <v>0</v>
      </c>
    </row>
    <row r="19" spans="1:16">
      <c r="B19" s="101"/>
      <c r="C19" s="30" t="s">
        <v>116</v>
      </c>
      <c r="G19" s="114">
        <v>4</v>
      </c>
      <c r="I19" s="152"/>
      <c r="J19" s="152"/>
      <c r="K19" s="160"/>
      <c r="L19" s="55"/>
      <c r="M19" s="55"/>
      <c r="N19" s="55"/>
      <c r="O19" s="55"/>
      <c r="P19" s="55"/>
    </row>
    <row r="20" spans="1:16">
      <c r="B20" s="101"/>
      <c r="G20" s="114"/>
      <c r="I20" s="152"/>
      <c r="J20" s="152"/>
      <c r="K20" s="160"/>
      <c r="L20" s="55"/>
      <c r="M20" s="55"/>
      <c r="N20" s="55"/>
      <c r="O20" s="55"/>
      <c r="P20" s="55"/>
    </row>
    <row r="21" spans="1:16">
      <c r="B21" s="155" t="str">
        <f>BalanceSheet!B29</f>
        <v>Revolver</v>
      </c>
      <c r="I21" s="34"/>
      <c r="J21" s="34"/>
      <c r="K21" s="35"/>
      <c r="L21" s="34"/>
      <c r="M21" s="34"/>
      <c r="N21" s="34"/>
      <c r="O21" s="34"/>
      <c r="P21" s="34"/>
    </row>
    <row r="22" spans="1:16">
      <c r="A22" s="41" t="s">
        <v>0</v>
      </c>
      <c r="B22" s="101" t="s">
        <v>112</v>
      </c>
      <c r="I22" s="34"/>
      <c r="J22" s="34"/>
      <c r="K22" s="35"/>
      <c r="L22" s="55">
        <f>K25</f>
        <v>0</v>
      </c>
      <c r="M22" s="55">
        <f>L25</f>
        <v>0</v>
      </c>
      <c r="N22" s="55">
        <f>M25</f>
        <v>0</v>
      </c>
      <c r="O22" s="55">
        <f>N25</f>
        <v>0</v>
      </c>
      <c r="P22" s="55">
        <f>O25</f>
        <v>0</v>
      </c>
    </row>
    <row r="23" spans="1:16">
      <c r="C23" s="101" t="s">
        <v>113</v>
      </c>
      <c r="F23" s="156"/>
      <c r="H23" s="157"/>
      <c r="I23" s="34"/>
      <c r="J23" s="34"/>
      <c r="K23" s="35"/>
      <c r="L23" s="112">
        <v>0</v>
      </c>
      <c r="M23" s="112">
        <v>0</v>
      </c>
      <c r="N23" s="112">
        <v>0</v>
      </c>
      <c r="O23" s="112">
        <v>0</v>
      </c>
      <c r="P23" s="112">
        <v>0</v>
      </c>
    </row>
    <row r="24" spans="1:16">
      <c r="C24" s="101" t="s">
        <v>114</v>
      </c>
      <c r="I24" s="34"/>
      <c r="J24" s="34"/>
      <c r="K24" s="35"/>
      <c r="L24" s="64">
        <f>IF(L22&lt;=0,0,(-$K$25/$G$26)-(L23/$G$26))</f>
        <v>0</v>
      </c>
      <c r="M24" s="64">
        <f t="shared" ref="M24:P24" si="2">IF(M22&lt;=0,0,(-$K$25/$G$26)-(M23/$G$26))</f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</row>
    <row r="25" spans="1:16">
      <c r="B25" s="101" t="s">
        <v>115</v>
      </c>
      <c r="I25" s="158">
        <f>BalanceSheet!H29</f>
        <v>0</v>
      </c>
      <c r="J25" s="158">
        <f>BalanceSheet!I29</f>
        <v>0</v>
      </c>
      <c r="K25" s="159">
        <f>BalanceSheet!J29</f>
        <v>0</v>
      </c>
      <c r="L25" s="56">
        <f>SUM(L22:L24)</f>
        <v>0</v>
      </c>
      <c r="M25" s="56">
        <f>SUM(M22:M24)</f>
        <v>0</v>
      </c>
      <c r="N25" s="56">
        <f>SUM(N22:N24)</f>
        <v>0</v>
      </c>
      <c r="O25" s="56">
        <f>SUM(O22:O24)</f>
        <v>0</v>
      </c>
      <c r="P25" s="56">
        <f>SUM(P22:P24)</f>
        <v>0</v>
      </c>
    </row>
    <row r="26" spans="1:16">
      <c r="B26" s="101"/>
      <c r="C26" s="30" t="s">
        <v>116</v>
      </c>
      <c r="G26" s="114">
        <v>10</v>
      </c>
      <c r="I26" s="152"/>
      <c r="J26" s="152"/>
      <c r="K26" s="160"/>
      <c r="L26" s="55"/>
      <c r="M26" s="55"/>
      <c r="N26" s="55"/>
      <c r="O26" s="55"/>
      <c r="P26" s="55"/>
    </row>
    <row r="27" spans="1:16">
      <c r="B27" s="101"/>
      <c r="I27" s="34"/>
      <c r="J27" s="34"/>
      <c r="K27" s="35"/>
      <c r="L27" s="34"/>
      <c r="M27" s="34"/>
      <c r="N27" s="34"/>
      <c r="O27" s="34"/>
      <c r="P27" s="34"/>
    </row>
    <row r="28" spans="1:16">
      <c r="B28" s="155" t="str">
        <f>BalanceSheet!B30</f>
        <v>Other Long-Term Liabilities</v>
      </c>
      <c r="I28" s="34"/>
      <c r="J28" s="34"/>
      <c r="K28" s="35"/>
      <c r="L28" s="34"/>
      <c r="M28" s="34"/>
      <c r="N28" s="34"/>
      <c r="O28" s="34"/>
      <c r="P28" s="34"/>
    </row>
    <row r="29" spans="1:16">
      <c r="A29" s="41" t="s">
        <v>0</v>
      </c>
      <c r="B29" s="101" t="s">
        <v>112</v>
      </c>
      <c r="I29" s="34"/>
      <c r="J29" s="34"/>
      <c r="K29" s="35"/>
      <c r="L29" s="64">
        <f>K32</f>
        <v>0</v>
      </c>
      <c r="M29" s="55">
        <f>L32</f>
        <v>0</v>
      </c>
      <c r="N29" s="55">
        <f>M32</f>
        <v>0</v>
      </c>
      <c r="O29" s="55">
        <f>N32</f>
        <v>0</v>
      </c>
      <c r="P29" s="55">
        <f>O32</f>
        <v>0</v>
      </c>
    </row>
    <row r="30" spans="1:16">
      <c r="C30" s="101" t="s">
        <v>113</v>
      </c>
      <c r="I30" s="34"/>
      <c r="J30" s="34"/>
      <c r="K30" s="35"/>
      <c r="L30" s="64"/>
      <c r="M30" s="64"/>
      <c r="N30" s="64"/>
      <c r="O30" s="64"/>
      <c r="P30" s="64"/>
    </row>
    <row r="31" spans="1:16">
      <c r="C31" s="101" t="s">
        <v>114</v>
      </c>
      <c r="I31" s="34"/>
      <c r="J31" s="34"/>
      <c r="K31" s="35"/>
      <c r="L31" s="64"/>
      <c r="M31" s="64"/>
      <c r="N31" s="64"/>
      <c r="O31" s="64"/>
      <c r="P31" s="64"/>
    </row>
    <row r="32" spans="1:16">
      <c r="B32" s="101" t="s">
        <v>115</v>
      </c>
      <c r="I32" s="158">
        <f>BalanceSheet!H30</f>
        <v>0</v>
      </c>
      <c r="J32" s="158">
        <f>BalanceSheet!I30</f>
        <v>0</v>
      </c>
      <c r="K32" s="159">
        <f>BalanceSheet!J30</f>
        <v>0</v>
      </c>
      <c r="L32" s="56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6">
        <f>SUM(P29:P31)</f>
        <v>0</v>
      </c>
    </row>
    <row r="33" spans="1:16">
      <c r="B33" s="101"/>
      <c r="C33" s="30" t="s">
        <v>117</v>
      </c>
      <c r="G33" s="114"/>
      <c r="I33" s="161" t="e">
        <f>I32/IncomeStatement!H9</f>
        <v>#DIV/0!</v>
      </c>
      <c r="J33" s="161" t="e">
        <f>J32/IncomeStatement!I9</f>
        <v>#DIV/0!</v>
      </c>
      <c r="K33" s="162" t="e">
        <f>K32/IncomeStatement!J9</f>
        <v>#DIV/0!</v>
      </c>
      <c r="L33" s="82" t="e">
        <f>K33</f>
        <v>#DIV/0!</v>
      </c>
      <c r="M33" s="110" t="e">
        <f>L33</f>
        <v>#DIV/0!</v>
      </c>
      <c r="N33" s="110" t="e">
        <f t="shared" ref="N33:P33" si="3">M33</f>
        <v>#DIV/0!</v>
      </c>
      <c r="O33" s="110" t="e">
        <f t="shared" si="3"/>
        <v>#DIV/0!</v>
      </c>
      <c r="P33" s="110" t="e">
        <f t="shared" si="3"/>
        <v>#DIV/0!</v>
      </c>
    </row>
    <row r="34" spans="1:16">
      <c r="B34" s="101"/>
      <c r="I34" s="34"/>
      <c r="J34" s="34"/>
      <c r="K34" s="35"/>
      <c r="L34" s="34"/>
      <c r="M34" s="34"/>
      <c r="N34" s="34"/>
      <c r="O34" s="34"/>
      <c r="P34" s="34"/>
    </row>
    <row r="35" spans="1:16">
      <c r="B35" s="163" t="str">
        <f>BalanceSheet!B24</f>
        <v>Short-Term Debt</v>
      </c>
      <c r="I35" s="34"/>
      <c r="J35" s="34"/>
      <c r="K35" s="35"/>
      <c r="L35" s="34"/>
      <c r="M35" s="34"/>
      <c r="N35" s="34"/>
      <c r="O35" s="34"/>
      <c r="P35" s="34"/>
    </row>
    <row r="36" spans="1:16">
      <c r="B36" s="101" t="s">
        <v>112</v>
      </c>
      <c r="I36" s="34"/>
      <c r="J36" s="34"/>
      <c r="K36" s="35"/>
      <c r="L36" s="64">
        <f>K39</f>
        <v>631.54731000000004</v>
      </c>
      <c r="M36" s="55">
        <f>L39</f>
        <v>0</v>
      </c>
      <c r="N36" s="55">
        <f>M39</f>
        <v>0</v>
      </c>
      <c r="O36" s="55">
        <f>N39</f>
        <v>0</v>
      </c>
      <c r="P36" s="55">
        <f>O39</f>
        <v>0</v>
      </c>
    </row>
    <row r="37" spans="1:16">
      <c r="C37" s="101" t="s">
        <v>113</v>
      </c>
      <c r="I37" s="34"/>
      <c r="J37" s="34"/>
      <c r="K37" s="35"/>
      <c r="L37" s="64">
        <v>0</v>
      </c>
      <c r="M37" s="64">
        <v>0</v>
      </c>
      <c r="N37" s="64">
        <v>0</v>
      </c>
      <c r="O37" s="64">
        <v>0</v>
      </c>
      <c r="P37" s="64">
        <v>0</v>
      </c>
    </row>
    <row r="38" spans="1:16">
      <c r="C38" s="101" t="s">
        <v>114</v>
      </c>
      <c r="I38" s="34"/>
      <c r="J38" s="34"/>
      <c r="K38" s="35"/>
      <c r="L38" s="64">
        <f>-K39</f>
        <v>-631.54731000000004</v>
      </c>
      <c r="M38" s="64">
        <v>0</v>
      </c>
      <c r="N38" s="64">
        <v>0</v>
      </c>
      <c r="O38" s="64">
        <v>0</v>
      </c>
      <c r="P38" s="64">
        <v>0</v>
      </c>
    </row>
    <row r="39" spans="1:16">
      <c r="B39" s="101" t="s">
        <v>115</v>
      </c>
      <c r="I39" s="158">
        <f>BalanceSheet!H24</f>
        <v>0</v>
      </c>
      <c r="J39" s="158">
        <f>BalanceSheet!I24</f>
        <v>0</v>
      </c>
      <c r="K39" s="159">
        <f>BalanceSheet!K24</f>
        <v>631.54731000000004</v>
      </c>
      <c r="L39" s="56">
        <f>SUM(L36:L38)</f>
        <v>0</v>
      </c>
      <c r="M39" s="56">
        <f>SUM(M36:M38)</f>
        <v>0</v>
      </c>
      <c r="N39" s="56">
        <f>SUM(N36:N38)</f>
        <v>0</v>
      </c>
      <c r="O39" s="56">
        <f>SUM(O36:O38)</f>
        <v>0</v>
      </c>
      <c r="P39" s="56">
        <f>SUM(P36:P38)</f>
        <v>0</v>
      </c>
    </row>
    <row r="40" spans="1:16">
      <c r="B40" s="101"/>
      <c r="C40" s="30" t="s">
        <v>117</v>
      </c>
      <c r="G40" s="114"/>
      <c r="I40" s="161" t="e">
        <f>I39/IncomeStatement!H16</f>
        <v>#DIV/0!</v>
      </c>
      <c r="J40" s="161" t="e">
        <f>J39/IncomeStatement!I16</f>
        <v>#DIV/0!</v>
      </c>
      <c r="K40" s="162" t="e">
        <f>K39/IncomeStatement!J16</f>
        <v>#DIV/0!</v>
      </c>
      <c r="L40" s="82" t="e">
        <f>K40</f>
        <v>#DIV/0!</v>
      </c>
      <c r="M40" s="110" t="e">
        <f>L40</f>
        <v>#DIV/0!</v>
      </c>
      <c r="N40" s="110" t="e">
        <f t="shared" ref="N40" si="4">M40</f>
        <v>#DIV/0!</v>
      </c>
      <c r="O40" s="110" t="e">
        <f t="shared" ref="O40" si="5">N40</f>
        <v>#DIV/0!</v>
      </c>
      <c r="P40" s="110" t="e">
        <f t="shared" ref="P40" si="6">O40</f>
        <v>#DIV/0!</v>
      </c>
    </row>
    <row r="41" spans="1:16">
      <c r="B41" s="101"/>
      <c r="G41" s="114"/>
      <c r="I41" s="161"/>
      <c r="J41" s="161"/>
      <c r="K41" s="162"/>
      <c r="L41" s="82"/>
      <c r="M41" s="110"/>
      <c r="N41" s="110"/>
      <c r="O41" s="110"/>
      <c r="P41" s="110"/>
    </row>
    <row r="42" spans="1:16">
      <c r="B42" s="164" t="s">
        <v>118</v>
      </c>
      <c r="I42" s="34"/>
      <c r="J42" s="34"/>
      <c r="K42" s="35"/>
      <c r="L42" s="34"/>
      <c r="M42" s="34"/>
      <c r="N42" s="34"/>
      <c r="O42" s="34"/>
      <c r="P42" s="34"/>
    </row>
    <row r="43" spans="1:16">
      <c r="A43" s="41" t="s">
        <v>0</v>
      </c>
      <c r="B43" s="34"/>
      <c r="C43" s="30" t="s">
        <v>119</v>
      </c>
      <c r="I43" s="34"/>
      <c r="J43" s="34"/>
      <c r="K43" s="35"/>
      <c r="L43" s="53">
        <f ca="1">AVERAGE(BalanceSheet!J9,BalanceSheet!L9)</f>
        <v>-746.57317496711744</v>
      </c>
      <c r="M43" s="53">
        <f ca="1">AVERAGE(BalanceSheet!L9,BalanceSheet!M9)</f>
        <v>-442.95411511833544</v>
      </c>
      <c r="N43" s="53">
        <f ca="1">AVERAGE(BalanceSheet!M9,BalanceSheet!N9)</f>
        <v>-461.34315649121731</v>
      </c>
      <c r="O43" s="53">
        <f ca="1">AVERAGE(BalanceSheet!N9,BalanceSheet!O9)</f>
        <v>-538.75755015757886</v>
      </c>
      <c r="P43" s="53">
        <f ca="1">AVERAGE(BalanceSheet!O9,BalanceSheet!P9)</f>
        <v>638.55610916208161</v>
      </c>
    </row>
    <row r="44" spans="1:16">
      <c r="B44" s="34"/>
      <c r="C44" s="30" t="s">
        <v>120</v>
      </c>
      <c r="I44" s="34"/>
      <c r="J44" s="34"/>
      <c r="K44" s="35"/>
      <c r="L44" s="82">
        <v>0.01</v>
      </c>
      <c r="M44" s="44">
        <f>L44</f>
        <v>0.01</v>
      </c>
      <c r="N44" s="44">
        <f>M44</f>
        <v>0.01</v>
      </c>
      <c r="O44" s="44">
        <f>N44</f>
        <v>0.01</v>
      </c>
      <c r="P44" s="44">
        <f>O44</f>
        <v>0.01</v>
      </c>
    </row>
    <row r="45" spans="1:16">
      <c r="C45" s="30" t="s">
        <v>121</v>
      </c>
      <c r="I45" s="34"/>
      <c r="J45" s="34"/>
      <c r="K45" s="35"/>
      <c r="L45" s="55">
        <f ca="1">-L44*L43</f>
        <v>7.4657317496711748</v>
      </c>
      <c r="M45" s="55">
        <f ca="1">-M44*M43</f>
        <v>4.4295411511833542</v>
      </c>
      <c r="N45" s="55">
        <f ca="1">-N44*N43</f>
        <v>4.6134315649121733</v>
      </c>
      <c r="O45" s="55">
        <f ca="1">-O44*O43</f>
        <v>5.3875755015757889</v>
      </c>
      <c r="P45" s="55">
        <f ca="1">-P44*P43</f>
        <v>-6.3855610916208159</v>
      </c>
    </row>
    <row r="46" spans="1:16">
      <c r="B46" s="101"/>
      <c r="I46" s="34"/>
      <c r="J46" s="34"/>
      <c r="K46" s="35"/>
      <c r="L46" s="34"/>
      <c r="M46" s="34"/>
      <c r="N46" s="34"/>
      <c r="O46" s="34"/>
      <c r="P46" s="34"/>
    </row>
    <row r="47" spans="1:16">
      <c r="A47" s="41" t="s">
        <v>0</v>
      </c>
      <c r="B47" s="33" t="s">
        <v>122</v>
      </c>
      <c r="I47" s="138">
        <f>IncomeStatement!H19</f>
        <v>0</v>
      </c>
      <c r="J47" s="138">
        <f>IncomeStatement!I19</f>
        <v>0</v>
      </c>
      <c r="K47" s="139">
        <f>IncomeStatement!J19</f>
        <v>0</v>
      </c>
      <c r="L47" s="103">
        <f>L52+L56+L60+L64</f>
        <v>25.261892400000001</v>
      </c>
      <c r="M47" s="103">
        <f t="shared" ref="M47:P47" si="7">M52+M56+M60+M64</f>
        <v>0</v>
      </c>
      <c r="N47" s="103">
        <f t="shared" si="7"/>
        <v>0</v>
      </c>
      <c r="O47" s="103">
        <f t="shared" si="7"/>
        <v>0</v>
      </c>
      <c r="P47" s="103">
        <f t="shared" si="7"/>
        <v>0</v>
      </c>
    </row>
    <row r="48" spans="1:16">
      <c r="B48" s="165"/>
      <c r="C48" s="39"/>
      <c r="D48" s="39"/>
      <c r="E48" s="39"/>
      <c r="F48" s="39"/>
      <c r="G48" s="39"/>
      <c r="H48" s="39"/>
      <c r="I48" s="39"/>
      <c r="J48" s="39"/>
      <c r="K48" s="40"/>
      <c r="L48" s="39"/>
      <c r="M48" s="39"/>
      <c r="N48" s="39"/>
      <c r="O48" s="39"/>
      <c r="P48" s="39"/>
    </row>
    <row r="49" spans="1:17">
      <c r="B49" s="101"/>
      <c r="K49" s="35"/>
    </row>
    <row r="50" spans="1:17">
      <c r="B50" s="164" t="str">
        <f>B14&amp;" interest expense"</f>
        <v>Long-Term Debt interest expense</v>
      </c>
      <c r="C50" s="34"/>
      <c r="D50" s="34"/>
      <c r="E50" s="34"/>
      <c r="F50" s="34"/>
      <c r="G50" s="34"/>
      <c r="H50" s="34"/>
      <c r="I50" s="34"/>
      <c r="J50" s="34" t="s">
        <v>119</v>
      </c>
      <c r="K50" s="35"/>
      <c r="L50" s="43">
        <f>AVERAGE(L15,L18)</f>
        <v>0</v>
      </c>
      <c r="M50" s="43">
        <f>AVERAGE(M15,M18)</f>
        <v>0</v>
      </c>
      <c r="N50" s="43">
        <f>AVERAGE(N15,N18)</f>
        <v>0</v>
      </c>
      <c r="O50" s="43">
        <f>AVERAGE(O15,O18)</f>
        <v>0</v>
      </c>
      <c r="P50" s="43">
        <f>AVERAGE(P15,P18)</f>
        <v>0</v>
      </c>
    </row>
    <row r="51" spans="1:17">
      <c r="B51" s="34"/>
      <c r="C51" s="100"/>
      <c r="D51" s="34"/>
      <c r="E51" s="34"/>
      <c r="F51" s="34"/>
      <c r="G51" s="34"/>
      <c r="H51" s="34"/>
      <c r="I51" s="34"/>
      <c r="J51" s="34" t="s">
        <v>120</v>
      </c>
      <c r="K51" s="35"/>
      <c r="L51" s="82">
        <v>6.5000000000000002E-2</v>
      </c>
      <c r="M51" s="44">
        <f>L51</f>
        <v>6.5000000000000002E-2</v>
      </c>
      <c r="N51" s="44">
        <f>M51</f>
        <v>6.5000000000000002E-2</v>
      </c>
      <c r="O51" s="44">
        <f>N51</f>
        <v>6.5000000000000002E-2</v>
      </c>
      <c r="P51" s="44">
        <f>O51</f>
        <v>6.5000000000000002E-2</v>
      </c>
    </row>
    <row r="52" spans="1:17">
      <c r="B52" s="34"/>
      <c r="C52" s="34"/>
      <c r="D52" s="34"/>
      <c r="E52" s="34"/>
      <c r="F52" s="34"/>
      <c r="G52" s="34"/>
      <c r="H52" s="34"/>
      <c r="I52" s="80"/>
      <c r="J52" s="34" t="s">
        <v>54</v>
      </c>
      <c r="K52" s="35"/>
      <c r="L52" s="43">
        <f>L51*L50</f>
        <v>0</v>
      </c>
      <c r="M52" s="43">
        <f>M51*M50</f>
        <v>0</v>
      </c>
      <c r="N52" s="43">
        <f>N51*N50</f>
        <v>0</v>
      </c>
      <c r="O52" s="43">
        <f>O51*O50</f>
        <v>0</v>
      </c>
      <c r="P52" s="43">
        <f>P51*P50</f>
        <v>0</v>
      </c>
    </row>
    <row r="53" spans="1:17">
      <c r="B53" s="101"/>
      <c r="K53" s="35"/>
    </row>
    <row r="54" spans="1:17">
      <c r="A54" s="41" t="s">
        <v>0</v>
      </c>
      <c r="B54" s="164" t="str">
        <f>B21&amp;" interest expense"</f>
        <v>Revolver interest expense</v>
      </c>
      <c r="C54" s="34"/>
      <c r="D54" s="34"/>
      <c r="E54" s="34"/>
      <c r="F54" s="34"/>
      <c r="G54" s="34"/>
      <c r="H54" s="34"/>
      <c r="I54" s="34"/>
      <c r="J54" s="34" t="s">
        <v>119</v>
      </c>
      <c r="K54" s="35"/>
      <c r="L54" s="43">
        <f>AVERAGE(L22,L25)</f>
        <v>0</v>
      </c>
      <c r="M54" s="43">
        <f t="shared" ref="M54:P54" si="8">AVERAGE(M22,M25)</f>
        <v>0</v>
      </c>
      <c r="N54" s="43">
        <f t="shared" si="8"/>
        <v>0</v>
      </c>
      <c r="O54" s="43">
        <f t="shared" si="8"/>
        <v>0</v>
      </c>
      <c r="P54" s="43">
        <f t="shared" si="8"/>
        <v>0</v>
      </c>
      <c r="Q54" s="34"/>
    </row>
    <row r="55" spans="1:17">
      <c r="B55" s="34"/>
      <c r="C55" s="100"/>
      <c r="D55" s="34"/>
      <c r="E55" s="34"/>
      <c r="F55" s="34"/>
      <c r="G55" s="34"/>
      <c r="H55" s="34"/>
      <c r="I55" s="34"/>
      <c r="J55" s="34" t="s">
        <v>120</v>
      </c>
      <c r="K55" s="35"/>
      <c r="L55" s="82">
        <v>6.5000000000000002E-2</v>
      </c>
      <c r="M55" s="44">
        <f t="shared" ref="M55:P55" si="9">L55</f>
        <v>6.5000000000000002E-2</v>
      </c>
      <c r="N55" s="44">
        <f t="shared" si="9"/>
        <v>6.5000000000000002E-2</v>
      </c>
      <c r="O55" s="44">
        <f t="shared" si="9"/>
        <v>6.5000000000000002E-2</v>
      </c>
      <c r="P55" s="44">
        <f t="shared" si="9"/>
        <v>6.5000000000000002E-2</v>
      </c>
      <c r="Q55" s="34"/>
    </row>
    <row r="56" spans="1:17">
      <c r="B56" s="34"/>
      <c r="C56" s="34"/>
      <c r="D56" s="34"/>
      <c r="E56" s="34"/>
      <c r="F56" s="34"/>
      <c r="G56" s="34"/>
      <c r="H56" s="34"/>
      <c r="I56" s="80"/>
      <c r="J56" s="34" t="s">
        <v>54</v>
      </c>
      <c r="K56" s="35"/>
      <c r="L56" s="109">
        <f>L55*L54</f>
        <v>0</v>
      </c>
      <c r="M56" s="109">
        <f t="shared" ref="M56:P56" si="10">M55*M54</f>
        <v>0</v>
      </c>
      <c r="N56" s="109">
        <f t="shared" si="10"/>
        <v>0</v>
      </c>
      <c r="O56" s="109">
        <f t="shared" si="10"/>
        <v>0</v>
      </c>
      <c r="P56" s="109">
        <f t="shared" si="10"/>
        <v>0</v>
      </c>
      <c r="Q56" s="34"/>
    </row>
    <row r="57" spans="1:17">
      <c r="B57" s="34"/>
      <c r="C57" s="34"/>
      <c r="D57" s="34"/>
      <c r="E57" s="34"/>
      <c r="F57" s="34"/>
      <c r="G57" s="34"/>
      <c r="H57" s="34"/>
      <c r="I57" s="80"/>
      <c r="J57" s="34"/>
      <c r="K57" s="35"/>
      <c r="L57" s="53"/>
      <c r="M57" s="53"/>
      <c r="N57" s="53"/>
      <c r="O57" s="53"/>
      <c r="P57" s="53"/>
      <c r="Q57" s="34"/>
    </row>
    <row r="58" spans="1:17">
      <c r="A58" s="41" t="s">
        <v>0</v>
      </c>
      <c r="B58" s="164" t="str">
        <f>B28&amp;" interest expense"</f>
        <v>Other Long-Term Liabilities interest expense</v>
      </c>
      <c r="C58" s="34"/>
      <c r="D58" s="34"/>
      <c r="E58" s="34"/>
      <c r="F58" s="34"/>
      <c r="G58" s="34"/>
      <c r="H58" s="34"/>
      <c r="I58" s="80"/>
      <c r="J58" s="34" t="s">
        <v>119</v>
      </c>
      <c r="K58" s="35"/>
      <c r="L58" s="53">
        <f>AVERAGE(L29,L32)</f>
        <v>0</v>
      </c>
      <c r="M58" s="53">
        <f>AVERAGE(M29,M32)</f>
        <v>0</v>
      </c>
      <c r="N58" s="53">
        <f>AVERAGE(N29,N32)</f>
        <v>0</v>
      </c>
      <c r="O58" s="53">
        <f>AVERAGE(O29,O32)</f>
        <v>0</v>
      </c>
      <c r="P58" s="53">
        <f>AVERAGE(P29,P32)</f>
        <v>0</v>
      </c>
      <c r="Q58" s="34"/>
    </row>
    <row r="59" spans="1:17">
      <c r="B59" s="34"/>
      <c r="C59" s="34"/>
      <c r="D59" s="34"/>
      <c r="E59" s="34"/>
      <c r="F59" s="34"/>
      <c r="G59" s="34"/>
      <c r="H59" s="34"/>
      <c r="I59" s="80"/>
      <c r="J59" s="34" t="s">
        <v>120</v>
      </c>
      <c r="K59" s="35"/>
      <c r="L59" s="82">
        <v>0</v>
      </c>
      <c r="M59" s="44">
        <f>L59</f>
        <v>0</v>
      </c>
      <c r="N59" s="44">
        <f>M59</f>
        <v>0</v>
      </c>
      <c r="O59" s="44">
        <f>N59</f>
        <v>0</v>
      </c>
      <c r="P59" s="44">
        <f>O59</f>
        <v>0</v>
      </c>
      <c r="Q59" s="34"/>
    </row>
    <row r="60" spans="1:17">
      <c r="B60" s="34"/>
      <c r="C60" s="34"/>
      <c r="D60" s="34"/>
      <c r="E60" s="34"/>
      <c r="F60" s="34"/>
      <c r="G60" s="34"/>
      <c r="H60" s="34"/>
      <c r="I60" s="80"/>
      <c r="J60" s="34" t="s">
        <v>54</v>
      </c>
      <c r="K60" s="35"/>
      <c r="L60" s="53">
        <f>L59*L58</f>
        <v>0</v>
      </c>
      <c r="M60" s="53">
        <f>M59*M58</f>
        <v>0</v>
      </c>
      <c r="N60" s="53">
        <f>N59*N58</f>
        <v>0</v>
      </c>
      <c r="O60" s="53">
        <f>O59*O58</f>
        <v>0</v>
      </c>
      <c r="P60" s="53">
        <f>P59*P58</f>
        <v>0</v>
      </c>
      <c r="Q60" s="34"/>
    </row>
    <row r="61" spans="1:17">
      <c r="B61" s="34"/>
      <c r="C61" s="34"/>
      <c r="D61" s="34"/>
      <c r="E61" s="34"/>
      <c r="F61" s="34"/>
      <c r="G61" s="34"/>
      <c r="H61" s="34"/>
      <c r="I61" s="80"/>
      <c r="J61" s="34"/>
      <c r="K61" s="35"/>
      <c r="L61" s="53"/>
      <c r="M61" s="53"/>
      <c r="N61" s="53"/>
      <c r="O61" s="53"/>
      <c r="P61" s="53"/>
      <c r="Q61" s="34"/>
    </row>
    <row r="62" spans="1:17">
      <c r="B62" s="164" t="str">
        <f>B35&amp;" interest expense"</f>
        <v>Short-Term Debt interest expense</v>
      </c>
      <c r="C62" s="34"/>
      <c r="D62" s="34"/>
      <c r="E62" s="34"/>
      <c r="F62" s="34"/>
      <c r="G62" s="34"/>
      <c r="H62" s="34"/>
      <c r="I62" s="80"/>
      <c r="J62" s="34" t="s">
        <v>119</v>
      </c>
      <c r="K62" s="35"/>
      <c r="L62" s="53">
        <f>AVERAGE(L36,L39)</f>
        <v>315.77365500000002</v>
      </c>
      <c r="M62" s="53">
        <f t="shared" ref="M62:P62" si="11">AVERAGE(M36,M39)</f>
        <v>0</v>
      </c>
      <c r="N62" s="53">
        <f t="shared" si="11"/>
        <v>0</v>
      </c>
      <c r="O62" s="53">
        <f t="shared" si="11"/>
        <v>0</v>
      </c>
      <c r="P62" s="53">
        <f t="shared" si="11"/>
        <v>0</v>
      </c>
      <c r="Q62" s="34"/>
    </row>
    <row r="63" spans="1:17">
      <c r="B63" s="34"/>
      <c r="C63" s="34"/>
      <c r="D63" s="34"/>
      <c r="E63" s="34"/>
      <c r="F63" s="34"/>
      <c r="G63" s="34"/>
      <c r="H63" s="34"/>
      <c r="I63" s="80"/>
      <c r="J63" s="34" t="s">
        <v>120</v>
      </c>
      <c r="K63" s="35"/>
      <c r="L63" s="82">
        <v>0.08</v>
      </c>
      <c r="M63" s="44">
        <f>L63</f>
        <v>0.08</v>
      </c>
      <c r="N63" s="44">
        <f>M63</f>
        <v>0.08</v>
      </c>
      <c r="O63" s="44">
        <f>N63</f>
        <v>0.08</v>
      </c>
      <c r="P63" s="44">
        <f>O63</f>
        <v>0.08</v>
      </c>
      <c r="Q63" s="34"/>
    </row>
    <row r="64" spans="1:17">
      <c r="B64" s="34"/>
      <c r="C64" s="34"/>
      <c r="D64" s="34"/>
      <c r="E64" s="34"/>
      <c r="F64" s="34"/>
      <c r="G64" s="34"/>
      <c r="H64" s="34"/>
      <c r="I64" s="80"/>
      <c r="J64" s="34" t="s">
        <v>54</v>
      </c>
      <c r="K64" s="35"/>
      <c r="L64" s="53">
        <f>L63*L62</f>
        <v>25.261892400000001</v>
      </c>
      <c r="M64" s="53">
        <f>M63*M62</f>
        <v>0</v>
      </c>
      <c r="N64" s="53">
        <f>N63*N62</f>
        <v>0</v>
      </c>
      <c r="O64" s="53">
        <f>O63*O62</f>
        <v>0</v>
      </c>
      <c r="P64" s="53">
        <f>P63*P62</f>
        <v>0</v>
      </c>
      <c r="Q64" s="34"/>
    </row>
    <row r="65" spans="1:17">
      <c r="B65" s="34"/>
      <c r="C65" s="34"/>
      <c r="D65" s="34"/>
      <c r="E65" s="34"/>
      <c r="F65" s="34"/>
      <c r="G65" s="34"/>
      <c r="H65" s="34"/>
      <c r="I65" s="80"/>
      <c r="J65" s="34"/>
      <c r="K65" s="35"/>
      <c r="L65" s="53"/>
      <c r="M65" s="53"/>
      <c r="N65" s="53"/>
      <c r="O65" s="53"/>
      <c r="P65" s="53"/>
      <c r="Q65" s="34"/>
    </row>
    <row r="66" spans="1:17">
      <c r="B66" s="165"/>
      <c r="C66" s="39"/>
      <c r="D66" s="39"/>
      <c r="E66" s="39"/>
      <c r="F66" s="39"/>
      <c r="G66" s="39"/>
      <c r="H66" s="39"/>
      <c r="I66" s="39"/>
      <c r="J66" s="39"/>
      <c r="K66" s="40"/>
      <c r="L66" s="39"/>
      <c r="M66" s="39"/>
      <c r="N66" s="39"/>
      <c r="O66" s="39"/>
      <c r="P66" s="39"/>
      <c r="Q66" s="34"/>
    </row>
    <row r="67" spans="1:17">
      <c r="B67" s="16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>
      <c r="A68" s="41" t="s">
        <v>0</v>
      </c>
      <c r="B68" s="115" t="str">
        <f>"Shareholder's Equity Schedule for "&amp;Inputs!D5</f>
        <v>Shareholder's Equity Schedule for ACME, Inc.</v>
      </c>
      <c r="C68" s="36"/>
      <c r="D68" s="36"/>
      <c r="E68" s="36"/>
      <c r="F68" s="36"/>
      <c r="G68" s="36"/>
      <c r="H68" s="36"/>
      <c r="I68" s="50"/>
      <c r="J68" s="50"/>
      <c r="K68" s="116"/>
      <c r="L68" s="51" t="str">
        <f>"Projections ending "&amp;TEXT(Inputs!D9,"mmm dd")&amp;","</f>
        <v>Projections ending Dec 31,</v>
      </c>
      <c r="M68" s="50"/>
      <c r="N68" s="50"/>
      <c r="O68" s="50"/>
      <c r="P68" s="50"/>
      <c r="Q68" s="34"/>
    </row>
    <row r="69" spans="1:17">
      <c r="B69" s="48" t="e">
        <f>#REF!</f>
        <v>#REF!</v>
      </c>
      <c r="C69" s="49"/>
      <c r="D69" s="49"/>
      <c r="E69" s="49"/>
      <c r="F69" s="49"/>
      <c r="G69" s="49"/>
      <c r="H69" s="49"/>
      <c r="I69" s="36">
        <f>J69-1</f>
        <v>2014</v>
      </c>
      <c r="J69" s="36">
        <f>K69-1</f>
        <v>2015</v>
      </c>
      <c r="K69" s="117">
        <f>Inputs!D6</f>
        <v>2016</v>
      </c>
      <c r="L69" s="89">
        <f>K69+1</f>
        <v>2017</v>
      </c>
      <c r="M69" s="89">
        <f>L69+1</f>
        <v>2018</v>
      </c>
      <c r="N69" s="89">
        <f>M69+1</f>
        <v>2019</v>
      </c>
      <c r="O69" s="89">
        <f>N69+1</f>
        <v>2020</v>
      </c>
      <c r="P69" s="89">
        <f>O69+1</f>
        <v>2021</v>
      </c>
      <c r="Q69" s="34"/>
    </row>
    <row r="70" spans="1:17">
      <c r="I70" s="34"/>
      <c r="J70" s="34"/>
      <c r="K70" s="35"/>
      <c r="L70" s="34"/>
      <c r="M70" s="34"/>
      <c r="N70" s="34"/>
      <c r="O70" s="34"/>
      <c r="P70" s="34"/>
      <c r="Q70" s="34"/>
    </row>
    <row r="71" spans="1:17">
      <c r="B71" s="30" t="s">
        <v>99</v>
      </c>
      <c r="I71" s="34"/>
      <c r="J71" s="34"/>
      <c r="K71" s="139">
        <f>BalanceSheet!J35</f>
        <v>0</v>
      </c>
      <c r="L71" s="55">
        <f>K76</f>
        <v>-28.00517</v>
      </c>
      <c r="M71" s="55">
        <f ca="1">L76</f>
        <v>-731.83393489862431</v>
      </c>
      <c r="N71" s="55">
        <f ca="1">M76</f>
        <v>-151.49882721019276</v>
      </c>
      <c r="O71" s="55">
        <f ca="1">N76</f>
        <v>-812.76122058959345</v>
      </c>
      <c r="P71" s="55">
        <f ca="1">O76</f>
        <v>-383.92265479405722</v>
      </c>
      <c r="Q71" s="34"/>
    </row>
    <row r="72" spans="1:17">
      <c r="C72" s="30" t="s">
        <v>100</v>
      </c>
      <c r="I72" s="138">
        <f>IncomeStatement!H24</f>
        <v>0</v>
      </c>
      <c r="J72" s="138">
        <f>IncomeStatement!I24</f>
        <v>0</v>
      </c>
      <c r="K72" s="139">
        <f>IncomeStatement!J24</f>
        <v>0</v>
      </c>
      <c r="L72" s="140">
        <f ca="1">IncomeStatement!L24</f>
        <v>-703.82876489862429</v>
      </c>
      <c r="M72" s="140">
        <f ca="1">IncomeStatement!M24</f>
        <v>-919.66489231156845</v>
      </c>
      <c r="N72" s="140">
        <f ca="1">IncomeStatement!N24</f>
        <v>-661.26239337940069</v>
      </c>
      <c r="O72" s="140">
        <f ca="1">IncomeStatement!O24</f>
        <v>428.83856579553623</v>
      </c>
      <c r="P72" s="140">
        <f ca="1">IncomeStatement!P24</f>
        <v>1792.8018895561138</v>
      </c>
      <c r="Q72" s="34"/>
    </row>
    <row r="73" spans="1:17">
      <c r="C73" s="30" t="s">
        <v>101</v>
      </c>
      <c r="I73" s="55">
        <f t="shared" ref="I73:P73" si="12">I81</f>
        <v>0</v>
      </c>
      <c r="J73" s="55">
        <f t="shared" si="12"/>
        <v>0</v>
      </c>
      <c r="K73" s="63">
        <f t="shared" si="12"/>
        <v>0</v>
      </c>
      <c r="L73" s="64">
        <f t="shared" si="12"/>
        <v>0</v>
      </c>
      <c r="M73" s="64">
        <f t="shared" si="12"/>
        <v>1500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34"/>
    </row>
    <row r="74" spans="1:17">
      <c r="C74" s="30" t="s">
        <v>102</v>
      </c>
      <c r="I74" s="112">
        <v>0</v>
      </c>
      <c r="J74" s="112">
        <v>0</v>
      </c>
      <c r="K74" s="113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34"/>
    </row>
    <row r="75" spans="1:17">
      <c r="C75" s="101" t="s">
        <v>56</v>
      </c>
      <c r="I75" s="112">
        <v>0</v>
      </c>
      <c r="J75" s="112">
        <v>0</v>
      </c>
      <c r="K75" s="167">
        <v>0</v>
      </c>
      <c r="L75" s="64">
        <v>0</v>
      </c>
      <c r="M75" s="55">
        <f>L75</f>
        <v>0</v>
      </c>
      <c r="N75" s="55">
        <f>M75</f>
        <v>0</v>
      </c>
      <c r="O75" s="55">
        <f>N75</f>
        <v>0</v>
      </c>
      <c r="P75" s="55">
        <f>O75</f>
        <v>0</v>
      </c>
      <c r="Q75" s="34"/>
    </row>
    <row r="76" spans="1:17">
      <c r="B76" s="30" t="s">
        <v>103</v>
      </c>
      <c r="I76" s="158">
        <f>BalanceSheet!H35</f>
        <v>0</v>
      </c>
      <c r="J76" s="158">
        <f>BalanceSheet!I35</f>
        <v>0</v>
      </c>
      <c r="K76" s="159">
        <f>BalanceSheet!K35</f>
        <v>-28.00517</v>
      </c>
      <c r="L76" s="58">
        <f ca="1">SUM(L71:L75)</f>
        <v>-731.83393489862431</v>
      </c>
      <c r="M76" s="56">
        <f ca="1">SUM(M71:M75)</f>
        <v>-151.49882721019276</v>
      </c>
      <c r="N76" s="56">
        <f ca="1">SUM(N71:N75)</f>
        <v>-812.76122058959345</v>
      </c>
      <c r="O76" s="56">
        <f ca="1">SUM(O71:O75)</f>
        <v>-383.92265479405722</v>
      </c>
      <c r="P76" s="56">
        <f ca="1">SUM(P71:P75)</f>
        <v>1408.8792347620565</v>
      </c>
      <c r="Q76" s="34"/>
    </row>
    <row r="77" spans="1:17">
      <c r="I77" s="34"/>
      <c r="J77" s="34"/>
      <c r="K77" s="35"/>
      <c r="L77" s="34"/>
      <c r="M77" s="34"/>
      <c r="N77" s="34"/>
      <c r="O77" s="34"/>
      <c r="P77" s="34"/>
      <c r="Q77" s="34"/>
    </row>
    <row r="78" spans="1:17">
      <c r="B78" s="111" t="s">
        <v>104</v>
      </c>
      <c r="I78" s="34"/>
      <c r="J78" s="34"/>
      <c r="K78" s="35"/>
      <c r="L78" s="34"/>
      <c r="M78" s="34"/>
      <c r="N78" s="34"/>
      <c r="O78" s="34"/>
      <c r="P78" s="34"/>
      <c r="Q78" s="34"/>
    </row>
    <row r="79" spans="1:17">
      <c r="C79" s="30" t="s">
        <v>105</v>
      </c>
      <c r="I79" s="112"/>
      <c r="J79" s="112"/>
      <c r="K79" s="113"/>
      <c r="L79" s="112">
        <v>0</v>
      </c>
      <c r="M79" s="112">
        <v>3000</v>
      </c>
      <c r="N79" s="112">
        <v>0</v>
      </c>
      <c r="O79" s="112">
        <v>0</v>
      </c>
      <c r="P79" s="112">
        <v>0</v>
      </c>
      <c r="Q79" s="34"/>
    </row>
    <row r="80" spans="1:17">
      <c r="C80" s="30" t="s">
        <v>106</v>
      </c>
      <c r="I80" s="53"/>
      <c r="J80" s="53"/>
      <c r="K80" s="54"/>
      <c r="L80" s="168">
        <v>0</v>
      </c>
      <c r="M80" s="168">
        <v>0.5</v>
      </c>
      <c r="N80" s="168">
        <v>0</v>
      </c>
      <c r="O80" s="168">
        <v>0</v>
      </c>
      <c r="P80" s="168">
        <v>0</v>
      </c>
      <c r="Q80" s="34"/>
    </row>
    <row r="81" spans="2:18">
      <c r="C81" s="30" t="s">
        <v>107</v>
      </c>
      <c r="I81" s="169"/>
      <c r="J81" s="169"/>
      <c r="K81" s="170"/>
      <c r="L81" s="260">
        <f>L80*L79</f>
        <v>0</v>
      </c>
      <c r="M81" s="171">
        <f>M79*M80</f>
        <v>1500</v>
      </c>
      <c r="N81" s="171">
        <f>N79*N80</f>
        <v>0</v>
      </c>
      <c r="O81" s="171">
        <f>O79*O80</f>
        <v>0</v>
      </c>
      <c r="P81" s="171">
        <f>P79*P80</f>
        <v>0</v>
      </c>
      <c r="Q81" s="34"/>
    </row>
    <row r="82" spans="2:18">
      <c r="I82" s="172"/>
      <c r="J82" s="173"/>
      <c r="K82" s="174"/>
      <c r="L82" s="173"/>
      <c r="Q82" s="34"/>
    </row>
    <row r="83" spans="2:18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34"/>
    </row>
    <row r="84" spans="2:18">
      <c r="B84" s="166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2:18">
      <c r="B85" s="80"/>
      <c r="C85" s="34"/>
      <c r="D85" s="34"/>
      <c r="E85" s="34"/>
      <c r="F85" s="34"/>
      <c r="G85" s="34"/>
      <c r="H85" s="34"/>
      <c r="I85" s="34"/>
      <c r="J85" s="34"/>
      <c r="K85" s="34"/>
      <c r="L85" s="175"/>
      <c r="M85" s="34"/>
      <c r="N85" s="34"/>
      <c r="O85" s="34"/>
      <c r="P85" s="34"/>
      <c r="Q85" s="34"/>
    </row>
    <row r="86" spans="2:18">
      <c r="B86" s="34"/>
      <c r="C86" s="80"/>
      <c r="D86" s="34"/>
      <c r="E86" s="34"/>
      <c r="F86" s="34"/>
      <c r="G86" s="34"/>
      <c r="H86" s="34"/>
      <c r="I86" s="34"/>
      <c r="J86" s="34"/>
      <c r="K86" s="34"/>
      <c r="L86" s="175"/>
      <c r="M86" s="34"/>
      <c r="N86" s="34"/>
      <c r="O86" s="34"/>
      <c r="P86" s="34"/>
      <c r="Q86" s="34"/>
    </row>
    <row r="87" spans="2:18">
      <c r="B87" s="34"/>
      <c r="C87" s="80"/>
      <c r="D87" s="34"/>
      <c r="E87" s="34"/>
      <c r="F87" s="34"/>
      <c r="G87" s="34"/>
      <c r="H87" s="34"/>
      <c r="I87" s="34"/>
      <c r="J87" s="34"/>
      <c r="K87" s="34"/>
      <c r="L87" s="55"/>
      <c r="M87" s="34"/>
      <c r="N87" s="34"/>
      <c r="O87" s="34"/>
      <c r="P87" s="34"/>
      <c r="Q87" s="34"/>
    </row>
    <row r="88" spans="2:18">
      <c r="B88" s="80"/>
      <c r="C88" s="34"/>
      <c r="D88" s="34"/>
      <c r="E88" s="34"/>
      <c r="F88" s="34"/>
      <c r="G88" s="34"/>
      <c r="H88" s="34"/>
      <c r="I88" s="34"/>
      <c r="J88" s="34"/>
      <c r="K88" s="34"/>
      <c r="L88" s="55"/>
      <c r="M88" s="34"/>
      <c r="N88" s="34"/>
      <c r="O88" s="34"/>
      <c r="P88" s="34"/>
      <c r="Q88" s="34"/>
    </row>
    <row r="89" spans="2:18">
      <c r="B89" s="34"/>
      <c r="C89" s="80"/>
      <c r="D89" s="34"/>
      <c r="E89" s="34"/>
      <c r="F89" s="34"/>
      <c r="G89" s="34"/>
      <c r="H89" s="34"/>
      <c r="I89" s="34"/>
      <c r="J89" s="34"/>
      <c r="K89" s="34"/>
      <c r="L89" s="55"/>
      <c r="M89" s="34"/>
      <c r="N89" s="34"/>
      <c r="O89" s="34"/>
      <c r="P89" s="34"/>
      <c r="Q89" s="34"/>
    </row>
    <row r="90" spans="2:18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176"/>
      <c r="M90" s="34"/>
      <c r="N90" s="34"/>
      <c r="O90" s="34"/>
      <c r="P90" s="34"/>
      <c r="Q90" s="34"/>
    </row>
    <row r="91" spans="2:18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53"/>
      <c r="M91" s="34"/>
      <c r="N91" s="34"/>
      <c r="O91" s="34"/>
      <c r="P91" s="34"/>
      <c r="Q91" s="34"/>
    </row>
    <row r="92" spans="2:18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2:18">
      <c r="B93" s="16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2:18">
      <c r="B94" s="80"/>
      <c r="C94" s="34"/>
      <c r="D94" s="34"/>
      <c r="E94" s="34"/>
      <c r="F94" s="34"/>
      <c r="G94" s="34"/>
      <c r="H94" s="34"/>
      <c r="I94" s="34"/>
      <c r="J94" s="34"/>
      <c r="K94" s="34"/>
      <c r="L94" s="126"/>
      <c r="M94" s="59"/>
      <c r="N94" s="59"/>
      <c r="O94" s="32"/>
      <c r="P94" s="32"/>
      <c r="Q94" s="32"/>
      <c r="R94" s="151"/>
    </row>
    <row r="95" spans="2:18">
      <c r="B95" s="34"/>
      <c r="C95" s="80"/>
      <c r="D95" s="34"/>
      <c r="E95" s="34"/>
      <c r="F95" s="34"/>
      <c r="G95" s="34"/>
      <c r="H95" s="34"/>
      <c r="I95" s="34"/>
      <c r="J95" s="34"/>
      <c r="K95" s="34"/>
      <c r="L95" s="126"/>
      <c r="M95" s="59"/>
      <c r="N95" s="59"/>
      <c r="O95" s="32"/>
      <c r="P95" s="32"/>
      <c r="Q95" s="32"/>
      <c r="R95" s="151"/>
    </row>
    <row r="96" spans="2:18">
      <c r="B96" s="34"/>
      <c r="C96" s="80"/>
      <c r="D96" s="34"/>
      <c r="E96" s="34"/>
      <c r="F96" s="34"/>
      <c r="G96" s="177"/>
      <c r="H96" s="34"/>
      <c r="I96" s="34"/>
      <c r="J96" s="34"/>
      <c r="K96" s="34"/>
      <c r="L96" s="59"/>
      <c r="M96" s="59"/>
      <c r="N96" s="126"/>
      <c r="O96" s="32"/>
      <c r="P96" s="32"/>
      <c r="Q96" s="32"/>
      <c r="R96" s="151"/>
    </row>
    <row r="97" spans="2:18">
      <c r="B97" s="80"/>
      <c r="C97" s="34"/>
      <c r="D97" s="34"/>
      <c r="E97" s="34"/>
      <c r="F97" s="34"/>
      <c r="G97" s="34"/>
      <c r="H97" s="34"/>
      <c r="I97" s="34"/>
      <c r="J97" s="34"/>
      <c r="K97" s="34"/>
      <c r="L97" s="59"/>
      <c r="M97" s="59"/>
      <c r="N97" s="59"/>
      <c r="O97" s="32"/>
      <c r="P97" s="32"/>
      <c r="Q97" s="32"/>
      <c r="R97" s="151"/>
    </row>
    <row r="98" spans="2:18">
      <c r="B98" s="34"/>
      <c r="C98" s="80"/>
      <c r="D98" s="34"/>
      <c r="E98" s="34"/>
      <c r="F98" s="34"/>
      <c r="G98" s="34"/>
      <c r="H98" s="34"/>
      <c r="I98" s="34"/>
      <c r="J98" s="34"/>
      <c r="K98" s="34"/>
      <c r="L98" s="59"/>
      <c r="M98" s="59"/>
      <c r="N98" s="59"/>
      <c r="O98" s="32"/>
      <c r="P98" s="32"/>
      <c r="Q98" s="32"/>
      <c r="R98" s="151"/>
    </row>
    <row r="99" spans="2:18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178"/>
      <c r="M99" s="179"/>
      <c r="N99" s="179"/>
      <c r="O99" s="32"/>
      <c r="P99" s="32"/>
      <c r="Q99" s="32"/>
      <c r="R99" s="151"/>
    </row>
    <row r="100" spans="2:18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105"/>
      <c r="M100" s="105"/>
      <c r="N100" s="105"/>
      <c r="O100" s="32"/>
      <c r="P100" s="32"/>
      <c r="Q100" s="32"/>
      <c r="R100" s="151"/>
    </row>
    <row r="101" spans="2:18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2"/>
      <c r="M101" s="32"/>
      <c r="N101" s="32"/>
      <c r="O101" s="32"/>
      <c r="P101" s="32"/>
      <c r="Q101" s="32"/>
      <c r="R101" s="151"/>
    </row>
    <row r="102" spans="2:18">
      <c r="B102" s="166"/>
      <c r="C102" s="34"/>
      <c r="D102" s="34"/>
      <c r="E102" s="34"/>
      <c r="F102" s="34"/>
      <c r="G102" s="34"/>
      <c r="H102" s="34"/>
      <c r="I102" s="34"/>
      <c r="J102" s="34"/>
      <c r="K102" s="34"/>
      <c r="L102" s="32"/>
      <c r="M102" s="32"/>
      <c r="N102" s="32"/>
      <c r="O102" s="32"/>
      <c r="P102" s="32"/>
      <c r="Q102" s="32"/>
      <c r="R102" s="151"/>
    </row>
    <row r="103" spans="2:18">
      <c r="B103" s="80"/>
      <c r="C103" s="34"/>
      <c r="D103" s="34"/>
      <c r="E103" s="34"/>
      <c r="F103" s="34"/>
      <c r="G103" s="34"/>
      <c r="H103" s="34"/>
      <c r="I103" s="34"/>
      <c r="J103" s="34"/>
      <c r="K103" s="34"/>
      <c r="L103" s="126"/>
      <c r="M103" s="59"/>
      <c r="N103" s="59"/>
      <c r="O103" s="59"/>
      <c r="P103" s="32"/>
      <c r="Q103" s="32"/>
      <c r="R103" s="151"/>
    </row>
    <row r="104" spans="2:18">
      <c r="B104" s="34"/>
      <c r="C104" s="80"/>
      <c r="D104" s="34"/>
      <c r="E104" s="34"/>
      <c r="F104" s="34"/>
      <c r="G104" s="34"/>
      <c r="H104" s="34"/>
      <c r="I104" s="34"/>
      <c r="J104" s="34"/>
      <c r="K104" s="34"/>
      <c r="L104" s="126"/>
      <c r="M104" s="59"/>
      <c r="N104" s="59"/>
      <c r="O104" s="59"/>
      <c r="P104" s="32"/>
      <c r="Q104" s="32"/>
      <c r="R104" s="151"/>
    </row>
    <row r="105" spans="2:18">
      <c r="B105" s="34"/>
      <c r="C105" s="80"/>
      <c r="D105" s="34"/>
      <c r="E105" s="34"/>
      <c r="F105" s="34"/>
      <c r="G105" s="177"/>
      <c r="H105" s="34"/>
      <c r="I105" s="34"/>
      <c r="J105" s="34"/>
      <c r="K105" s="34"/>
      <c r="L105" s="59"/>
      <c r="M105" s="59"/>
      <c r="N105" s="59"/>
      <c r="O105" s="126"/>
      <c r="P105" s="32"/>
      <c r="Q105" s="32"/>
      <c r="R105" s="151"/>
    </row>
    <row r="106" spans="2:18">
      <c r="B106" s="80"/>
      <c r="C106" s="34"/>
      <c r="D106" s="34"/>
      <c r="E106" s="34"/>
      <c r="F106" s="34"/>
      <c r="G106" s="34"/>
      <c r="H106" s="34"/>
      <c r="I106" s="34"/>
      <c r="J106" s="34"/>
      <c r="K106" s="34"/>
      <c r="L106" s="59"/>
      <c r="M106" s="59"/>
      <c r="N106" s="59"/>
      <c r="O106" s="59"/>
      <c r="P106" s="32"/>
      <c r="Q106" s="32"/>
      <c r="R106" s="151"/>
    </row>
    <row r="107" spans="2:18">
      <c r="B107" s="34"/>
      <c r="C107" s="80"/>
      <c r="D107" s="34"/>
      <c r="E107" s="34"/>
      <c r="F107" s="34"/>
      <c r="G107" s="34"/>
      <c r="H107" s="34"/>
      <c r="I107" s="34"/>
      <c r="J107" s="34"/>
      <c r="K107" s="34"/>
      <c r="L107" s="59"/>
      <c r="M107" s="59"/>
      <c r="N107" s="59"/>
      <c r="O107" s="59"/>
      <c r="P107" s="32"/>
      <c r="Q107" s="32"/>
      <c r="R107" s="151"/>
    </row>
    <row r="108" spans="2:18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178"/>
      <c r="M108" s="179"/>
      <c r="N108" s="179"/>
      <c r="O108" s="179"/>
      <c r="P108" s="32"/>
      <c r="Q108" s="32"/>
      <c r="R108" s="151"/>
    </row>
    <row r="109" spans="2:18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105"/>
      <c r="M109" s="105"/>
      <c r="N109" s="105"/>
      <c r="O109" s="105"/>
      <c r="P109" s="32"/>
      <c r="Q109" s="32"/>
      <c r="R109" s="151"/>
    </row>
    <row r="110" spans="2:18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2"/>
      <c r="M110" s="32"/>
      <c r="N110" s="32"/>
      <c r="O110" s="32"/>
      <c r="P110" s="32"/>
      <c r="Q110" s="32"/>
      <c r="R110" s="151"/>
    </row>
    <row r="111" spans="2:18">
      <c r="B111" s="166"/>
      <c r="C111" s="34"/>
      <c r="D111" s="34"/>
      <c r="E111" s="34"/>
      <c r="F111" s="34"/>
      <c r="G111" s="34"/>
      <c r="H111" s="34"/>
      <c r="I111" s="34"/>
      <c r="J111" s="34"/>
      <c r="K111" s="34"/>
      <c r="L111" s="32"/>
      <c r="M111" s="32"/>
      <c r="N111" s="32"/>
      <c r="O111" s="32"/>
      <c r="P111" s="32"/>
      <c r="Q111" s="32"/>
      <c r="R111" s="151"/>
    </row>
    <row r="112" spans="2:18">
      <c r="B112" s="80"/>
      <c r="C112" s="34"/>
      <c r="D112" s="34"/>
      <c r="E112" s="34"/>
      <c r="F112" s="34"/>
      <c r="G112" s="34"/>
      <c r="H112" s="34"/>
      <c r="I112" s="34"/>
      <c r="J112" s="34"/>
      <c r="K112" s="34"/>
      <c r="L112" s="126"/>
      <c r="M112" s="59"/>
      <c r="N112" s="59"/>
      <c r="O112" s="59"/>
      <c r="P112" s="59"/>
      <c r="Q112" s="32"/>
      <c r="R112" s="151"/>
    </row>
    <row r="113" spans="2:18">
      <c r="B113" s="34"/>
      <c r="C113" s="80"/>
      <c r="D113" s="34"/>
      <c r="E113" s="34"/>
      <c r="F113" s="34"/>
      <c r="G113" s="34"/>
      <c r="H113" s="34"/>
      <c r="I113" s="34"/>
      <c r="J113" s="34"/>
      <c r="K113" s="34"/>
      <c r="L113" s="126"/>
      <c r="M113" s="59"/>
      <c r="N113" s="59"/>
      <c r="O113" s="59"/>
      <c r="P113" s="59"/>
      <c r="Q113" s="32"/>
      <c r="R113" s="151"/>
    </row>
    <row r="114" spans="2:18">
      <c r="B114" s="34"/>
      <c r="C114" s="80"/>
      <c r="D114" s="34"/>
      <c r="E114" s="34"/>
      <c r="F114" s="34"/>
      <c r="G114" s="177"/>
      <c r="H114" s="34"/>
      <c r="I114" s="34"/>
      <c r="J114" s="34"/>
      <c r="K114" s="34"/>
      <c r="L114" s="59"/>
      <c r="M114" s="59"/>
      <c r="N114" s="59"/>
      <c r="O114" s="59"/>
      <c r="P114" s="126"/>
      <c r="Q114" s="32"/>
      <c r="R114" s="151"/>
    </row>
    <row r="115" spans="2:18">
      <c r="B115" s="80"/>
      <c r="C115" s="34"/>
      <c r="D115" s="34"/>
      <c r="E115" s="34"/>
      <c r="F115" s="34"/>
      <c r="G115" s="34"/>
      <c r="H115" s="34"/>
      <c r="I115" s="34"/>
      <c r="J115" s="34"/>
      <c r="K115" s="34"/>
      <c r="L115" s="59"/>
      <c r="M115" s="59"/>
      <c r="N115" s="59"/>
      <c r="O115" s="59"/>
      <c r="P115" s="59"/>
      <c r="Q115" s="32"/>
      <c r="R115" s="151"/>
    </row>
    <row r="116" spans="2:18">
      <c r="B116" s="34"/>
      <c r="C116" s="80"/>
      <c r="D116" s="34"/>
      <c r="E116" s="34"/>
      <c r="F116" s="34"/>
      <c r="G116" s="34"/>
      <c r="H116" s="34"/>
      <c r="I116" s="34"/>
      <c r="J116" s="34"/>
      <c r="K116" s="34"/>
      <c r="L116" s="59"/>
      <c r="M116" s="59"/>
      <c r="N116" s="59"/>
      <c r="O116" s="59"/>
      <c r="P116" s="59"/>
      <c r="Q116" s="32"/>
      <c r="R116" s="151"/>
    </row>
    <row r="117" spans="2:18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178"/>
      <c r="M117" s="179"/>
      <c r="N117" s="179"/>
      <c r="O117" s="179"/>
      <c r="P117" s="179"/>
      <c r="Q117" s="32"/>
      <c r="R117" s="151"/>
    </row>
    <row r="118" spans="2:18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105"/>
      <c r="M118" s="105"/>
      <c r="N118" s="105"/>
      <c r="O118" s="105"/>
      <c r="P118" s="105"/>
      <c r="Q118" s="32"/>
      <c r="R118" s="151"/>
    </row>
    <row r="119" spans="2:18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2"/>
      <c r="M119" s="32"/>
      <c r="N119" s="32"/>
      <c r="O119" s="32"/>
      <c r="P119" s="32"/>
      <c r="Q119" s="32"/>
      <c r="R119" s="151"/>
    </row>
    <row r="120" spans="2:18">
      <c r="B120" s="166"/>
      <c r="C120" s="34"/>
      <c r="D120" s="34"/>
      <c r="E120" s="34"/>
      <c r="F120" s="34"/>
      <c r="G120" s="34"/>
      <c r="H120" s="34"/>
      <c r="I120" s="34"/>
      <c r="J120" s="34"/>
      <c r="K120" s="34"/>
      <c r="L120" s="32"/>
      <c r="M120" s="32"/>
      <c r="N120" s="32"/>
      <c r="O120" s="32"/>
      <c r="P120" s="32"/>
      <c r="Q120" s="32"/>
      <c r="R120" s="151"/>
    </row>
    <row r="121" spans="2:18">
      <c r="B121" s="80"/>
      <c r="C121" s="34"/>
      <c r="D121" s="34"/>
      <c r="E121" s="34"/>
      <c r="F121" s="34"/>
      <c r="G121" s="34"/>
      <c r="H121" s="34"/>
      <c r="I121" s="34"/>
      <c r="J121" s="34"/>
      <c r="K121" s="34"/>
      <c r="L121" s="126"/>
      <c r="M121" s="59"/>
      <c r="N121" s="59"/>
      <c r="O121" s="59"/>
      <c r="P121" s="59"/>
      <c r="Q121" s="32"/>
      <c r="R121" s="151"/>
    </row>
    <row r="122" spans="2:18">
      <c r="B122" s="34"/>
      <c r="C122" s="80"/>
      <c r="D122" s="34"/>
      <c r="E122" s="34"/>
      <c r="F122" s="34"/>
      <c r="G122" s="34"/>
      <c r="H122" s="34"/>
      <c r="I122" s="34"/>
      <c r="J122" s="34"/>
      <c r="K122" s="34"/>
      <c r="L122" s="126"/>
      <c r="M122" s="59"/>
      <c r="N122" s="59"/>
      <c r="O122" s="59"/>
      <c r="P122" s="59"/>
      <c r="Q122" s="32"/>
      <c r="R122" s="151"/>
    </row>
    <row r="123" spans="2:18">
      <c r="B123" s="34"/>
      <c r="C123" s="80"/>
      <c r="D123" s="34"/>
      <c r="E123" s="34"/>
      <c r="F123" s="34"/>
      <c r="G123" s="177"/>
      <c r="H123" s="34"/>
      <c r="I123" s="34"/>
      <c r="J123" s="34"/>
      <c r="K123" s="34"/>
      <c r="L123" s="55"/>
      <c r="M123" s="55"/>
      <c r="N123" s="55"/>
      <c r="O123" s="55"/>
      <c r="P123" s="55"/>
      <c r="Q123" s="34"/>
    </row>
    <row r="124" spans="2:18">
      <c r="B124" s="80"/>
      <c r="C124" s="34"/>
      <c r="D124" s="34"/>
      <c r="E124" s="34"/>
      <c r="F124" s="34"/>
      <c r="G124" s="34"/>
      <c r="H124" s="34"/>
      <c r="I124" s="34"/>
      <c r="J124" s="34"/>
      <c r="K124" s="34"/>
      <c r="L124" s="55"/>
      <c r="M124" s="55"/>
      <c r="N124" s="55"/>
      <c r="O124" s="55"/>
      <c r="P124" s="55"/>
      <c r="Q124" s="34"/>
    </row>
    <row r="125" spans="2:18">
      <c r="B125" s="34"/>
      <c r="C125" s="80"/>
      <c r="D125" s="34"/>
      <c r="E125" s="34"/>
      <c r="F125" s="34"/>
      <c r="G125" s="34"/>
      <c r="H125" s="34"/>
      <c r="I125" s="34"/>
      <c r="J125" s="34"/>
      <c r="K125" s="34"/>
      <c r="L125" s="55"/>
      <c r="M125" s="55"/>
      <c r="N125" s="55"/>
      <c r="O125" s="55"/>
      <c r="P125" s="55"/>
      <c r="Q125" s="34"/>
    </row>
    <row r="126" spans="2:18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176"/>
      <c r="M126" s="44"/>
      <c r="N126" s="44"/>
      <c r="O126" s="44"/>
      <c r="P126" s="44"/>
      <c r="Q126" s="34"/>
    </row>
    <row r="127" spans="2:18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53"/>
      <c r="M127" s="53"/>
      <c r="N127" s="53"/>
      <c r="O127" s="53"/>
      <c r="P127" s="53"/>
      <c r="Q127" s="34"/>
    </row>
    <row r="128" spans="2:18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2:17">
      <c r="B129" s="166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2:17">
      <c r="B130" s="80"/>
      <c r="C130" s="34"/>
      <c r="D130" s="34"/>
      <c r="E130" s="34"/>
      <c r="F130" s="34"/>
      <c r="G130" s="34"/>
      <c r="H130" s="34"/>
      <c r="I130" s="34"/>
      <c r="J130" s="34"/>
      <c r="K130" s="34"/>
      <c r="L130" s="175"/>
      <c r="M130" s="55"/>
      <c r="N130" s="55"/>
      <c r="O130" s="55"/>
      <c r="P130" s="55"/>
      <c r="Q130" s="34"/>
    </row>
    <row r="131" spans="2:17">
      <c r="B131" s="34"/>
      <c r="C131" s="80"/>
      <c r="D131" s="34"/>
      <c r="E131" s="34"/>
      <c r="F131" s="34"/>
      <c r="G131" s="34"/>
      <c r="H131" s="34"/>
      <c r="I131" s="34"/>
      <c r="J131" s="34"/>
      <c r="K131" s="34"/>
      <c r="L131" s="175"/>
      <c r="M131" s="55"/>
      <c r="N131" s="55"/>
      <c r="O131" s="55"/>
      <c r="P131" s="55"/>
      <c r="Q131" s="34"/>
    </row>
    <row r="132" spans="2:17">
      <c r="B132" s="34"/>
      <c r="C132" s="80"/>
      <c r="D132" s="34"/>
      <c r="E132" s="34"/>
      <c r="F132" s="34"/>
      <c r="G132" s="177"/>
      <c r="H132" s="34"/>
      <c r="I132" s="34"/>
      <c r="J132" s="34"/>
      <c r="K132" s="34"/>
      <c r="L132" s="55"/>
      <c r="M132" s="55"/>
      <c r="N132" s="55"/>
      <c r="O132" s="55"/>
      <c r="P132" s="55"/>
      <c r="Q132" s="34"/>
    </row>
    <row r="133" spans="2:17">
      <c r="B133" s="80"/>
      <c r="C133" s="34"/>
      <c r="D133" s="34"/>
      <c r="E133" s="34"/>
      <c r="F133" s="34"/>
      <c r="G133" s="34"/>
      <c r="H133" s="34"/>
      <c r="I133" s="34"/>
      <c r="J133" s="34"/>
      <c r="K133" s="34"/>
      <c r="L133" s="55"/>
      <c r="M133" s="55"/>
      <c r="N133" s="55"/>
      <c r="O133" s="55"/>
      <c r="P133" s="55"/>
      <c r="Q133" s="34"/>
    </row>
    <row r="134" spans="2:17">
      <c r="B134" s="34"/>
      <c r="C134" s="80"/>
      <c r="D134" s="34"/>
      <c r="E134" s="34"/>
      <c r="F134" s="34"/>
      <c r="G134" s="34"/>
      <c r="H134" s="34"/>
      <c r="I134" s="34"/>
      <c r="J134" s="34"/>
      <c r="K134" s="34"/>
      <c r="L134" s="55"/>
      <c r="M134" s="55"/>
      <c r="N134" s="55"/>
      <c r="O134" s="55"/>
      <c r="P134" s="55"/>
      <c r="Q134" s="34"/>
    </row>
    <row r="135" spans="2:17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176"/>
      <c r="M135" s="44"/>
      <c r="N135" s="44"/>
      <c r="O135" s="44"/>
      <c r="P135" s="44"/>
      <c r="Q135" s="34"/>
    </row>
    <row r="136" spans="2:17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53"/>
      <c r="M136" s="53"/>
      <c r="N136" s="53"/>
      <c r="O136" s="53"/>
      <c r="P136" s="53"/>
      <c r="Q136" s="34"/>
    </row>
    <row r="137" spans="2:17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2:17">
      <c r="B138" s="166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2:17">
      <c r="B139" s="80"/>
      <c r="C139" s="34"/>
      <c r="D139" s="34"/>
      <c r="E139" s="34"/>
      <c r="F139" s="34"/>
      <c r="G139" s="34"/>
      <c r="H139" s="34"/>
      <c r="I139" s="34"/>
      <c r="J139" s="34"/>
      <c r="K139" s="34"/>
      <c r="L139" s="175"/>
      <c r="M139" s="55"/>
      <c r="N139" s="55"/>
      <c r="O139" s="55"/>
      <c r="P139" s="55"/>
      <c r="Q139" s="34"/>
    </row>
    <row r="140" spans="2:17">
      <c r="B140" s="34"/>
      <c r="C140" s="80"/>
      <c r="D140" s="34"/>
      <c r="E140" s="34"/>
      <c r="F140" s="34"/>
      <c r="G140" s="34"/>
      <c r="H140" s="34"/>
      <c r="I140" s="34"/>
      <c r="J140" s="34"/>
      <c r="K140" s="34"/>
      <c r="L140" s="175"/>
      <c r="M140" s="55"/>
      <c r="N140" s="55"/>
      <c r="O140" s="55"/>
      <c r="P140" s="55"/>
      <c r="Q140" s="34"/>
    </row>
    <row r="141" spans="2:17">
      <c r="B141" s="34"/>
      <c r="C141" s="80"/>
      <c r="D141" s="34"/>
      <c r="E141" s="34"/>
      <c r="F141" s="34"/>
      <c r="G141" s="177"/>
      <c r="H141" s="34"/>
      <c r="I141" s="34"/>
      <c r="J141" s="34"/>
      <c r="K141" s="34"/>
      <c r="L141" s="55"/>
      <c r="M141" s="55"/>
      <c r="N141" s="55"/>
      <c r="O141" s="55"/>
      <c r="P141" s="55"/>
      <c r="Q141" s="34"/>
    </row>
    <row r="142" spans="2:17">
      <c r="B142" s="80"/>
      <c r="C142" s="34"/>
      <c r="D142" s="34"/>
      <c r="E142" s="34"/>
      <c r="F142" s="34"/>
      <c r="G142" s="34"/>
      <c r="H142" s="34"/>
      <c r="I142" s="34"/>
      <c r="J142" s="34"/>
      <c r="K142" s="34"/>
      <c r="L142" s="55"/>
      <c r="M142" s="55"/>
      <c r="N142" s="55"/>
      <c r="O142" s="55"/>
      <c r="P142" s="55"/>
      <c r="Q142" s="34"/>
    </row>
    <row r="143" spans="2:17">
      <c r="B143" s="34"/>
      <c r="C143" s="80"/>
      <c r="D143" s="34"/>
      <c r="E143" s="34"/>
      <c r="F143" s="34"/>
      <c r="G143" s="34"/>
      <c r="H143" s="34"/>
      <c r="I143" s="34"/>
      <c r="J143" s="34"/>
      <c r="K143" s="34"/>
      <c r="L143" s="55"/>
      <c r="M143" s="55"/>
      <c r="N143" s="55"/>
      <c r="O143" s="55"/>
      <c r="P143" s="55"/>
      <c r="Q143" s="34"/>
    </row>
    <row r="144" spans="2:17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176"/>
      <c r="M144" s="44"/>
      <c r="N144" s="44"/>
      <c r="O144" s="44"/>
      <c r="P144" s="44"/>
      <c r="Q144" s="34"/>
    </row>
    <row r="145" spans="2:17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53"/>
      <c r="M145" s="53"/>
      <c r="N145" s="53"/>
      <c r="O145" s="53"/>
      <c r="P145" s="53"/>
      <c r="Q145" s="34"/>
    </row>
    <row r="146" spans="2:17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2:17">
      <c r="B147" s="16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2:17">
      <c r="B148" s="80"/>
      <c r="C148" s="34"/>
      <c r="D148" s="34"/>
      <c r="E148" s="34"/>
      <c r="F148" s="34"/>
      <c r="G148" s="34"/>
      <c r="H148" s="34"/>
      <c r="I148" s="34"/>
      <c r="J148" s="34"/>
      <c r="K148" s="34"/>
      <c r="L148" s="175"/>
      <c r="M148" s="55"/>
      <c r="N148" s="55"/>
      <c r="O148" s="55"/>
      <c r="P148" s="55"/>
      <c r="Q148" s="34"/>
    </row>
    <row r="149" spans="2:17">
      <c r="B149" s="34"/>
      <c r="C149" s="80"/>
      <c r="D149" s="34"/>
      <c r="E149" s="34"/>
      <c r="F149" s="34"/>
      <c r="G149" s="34"/>
      <c r="H149" s="34"/>
      <c r="I149" s="34"/>
      <c r="J149" s="34"/>
      <c r="K149" s="34"/>
      <c r="L149" s="175"/>
      <c r="M149" s="55"/>
      <c r="N149" s="55"/>
      <c r="O149" s="55"/>
      <c r="P149" s="55"/>
      <c r="Q149" s="34"/>
    </row>
    <row r="150" spans="2:17">
      <c r="B150" s="34"/>
      <c r="C150" s="80"/>
      <c r="D150" s="34"/>
      <c r="E150" s="34"/>
      <c r="F150" s="34"/>
      <c r="G150" s="177"/>
      <c r="H150" s="34"/>
      <c r="I150" s="34"/>
      <c r="J150" s="34"/>
      <c r="K150" s="34"/>
      <c r="L150" s="55"/>
      <c r="M150" s="55"/>
      <c r="N150" s="55"/>
      <c r="O150" s="55"/>
      <c r="P150" s="55"/>
      <c r="Q150" s="34"/>
    </row>
    <row r="151" spans="2:17">
      <c r="B151" s="80"/>
      <c r="C151" s="34"/>
      <c r="D151" s="34"/>
      <c r="E151" s="34"/>
      <c r="F151" s="34"/>
      <c r="G151" s="34"/>
      <c r="H151" s="34"/>
      <c r="I151" s="34"/>
      <c r="J151" s="34"/>
      <c r="K151" s="34"/>
      <c r="L151" s="55"/>
      <c r="M151" s="55"/>
      <c r="N151" s="55"/>
      <c r="O151" s="55"/>
      <c r="P151" s="55"/>
      <c r="Q151" s="34"/>
    </row>
    <row r="152" spans="2:17">
      <c r="B152" s="34"/>
      <c r="C152" s="80"/>
      <c r="D152" s="34"/>
      <c r="E152" s="34"/>
      <c r="F152" s="34"/>
      <c r="G152" s="34"/>
      <c r="H152" s="34"/>
      <c r="I152" s="34"/>
      <c r="J152" s="34"/>
      <c r="K152" s="34"/>
      <c r="L152" s="55"/>
      <c r="M152" s="55"/>
      <c r="N152" s="55"/>
      <c r="O152" s="55"/>
      <c r="P152" s="55"/>
      <c r="Q152" s="34"/>
    </row>
    <row r="153" spans="2:17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176"/>
      <c r="M153" s="44"/>
      <c r="N153" s="44"/>
      <c r="O153" s="44"/>
      <c r="P153" s="44"/>
      <c r="Q153" s="34"/>
    </row>
    <row r="154" spans="2:17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53"/>
      <c r="M154" s="53"/>
      <c r="N154" s="53"/>
      <c r="O154" s="53"/>
      <c r="P154" s="53"/>
      <c r="Q154" s="34"/>
    </row>
    <row r="155" spans="2:17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2:17">
      <c r="B156" s="16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2:17">
      <c r="B157" s="80"/>
      <c r="C157" s="34"/>
      <c r="D157" s="34"/>
      <c r="E157" s="34"/>
      <c r="F157" s="34"/>
      <c r="G157" s="34"/>
      <c r="H157" s="34"/>
      <c r="I157" s="34"/>
      <c r="J157" s="34"/>
      <c r="K157" s="34"/>
      <c r="L157" s="175"/>
      <c r="M157" s="55"/>
      <c r="N157" s="55"/>
      <c r="O157" s="55"/>
      <c r="P157" s="55"/>
      <c r="Q157" s="34"/>
    </row>
    <row r="158" spans="2:17">
      <c r="B158" s="34"/>
      <c r="C158" s="80"/>
      <c r="D158" s="34"/>
      <c r="E158" s="34"/>
      <c r="F158" s="34"/>
      <c r="G158" s="34"/>
      <c r="H158" s="34"/>
      <c r="I158" s="34"/>
      <c r="J158" s="34"/>
      <c r="K158" s="34"/>
      <c r="L158" s="175"/>
      <c r="M158" s="55"/>
      <c r="N158" s="55"/>
      <c r="O158" s="55"/>
      <c r="P158" s="55"/>
      <c r="Q158" s="34"/>
    </row>
    <row r="159" spans="2:17">
      <c r="B159" s="34"/>
      <c r="C159" s="80"/>
      <c r="D159" s="34"/>
      <c r="E159" s="34"/>
      <c r="F159" s="34"/>
      <c r="G159" s="177"/>
      <c r="H159" s="34"/>
      <c r="I159" s="34"/>
      <c r="J159" s="34"/>
      <c r="K159" s="34"/>
      <c r="L159" s="55"/>
      <c r="M159" s="55"/>
      <c r="N159" s="55"/>
      <c r="O159" s="55"/>
      <c r="P159" s="55"/>
      <c r="Q159" s="34"/>
    </row>
    <row r="160" spans="2:17">
      <c r="B160" s="80"/>
      <c r="C160" s="34"/>
      <c r="D160" s="34"/>
      <c r="E160" s="34"/>
      <c r="F160" s="34"/>
      <c r="G160" s="34"/>
      <c r="H160" s="34"/>
      <c r="I160" s="34"/>
      <c r="J160" s="34"/>
      <c r="K160" s="34"/>
      <c r="L160" s="55"/>
      <c r="M160" s="55"/>
      <c r="N160" s="55"/>
      <c r="O160" s="55"/>
      <c r="P160" s="55"/>
      <c r="Q160" s="34"/>
    </row>
    <row r="161" spans="2:17">
      <c r="B161" s="34"/>
      <c r="C161" s="80"/>
      <c r="D161" s="34"/>
      <c r="E161" s="34"/>
      <c r="F161" s="34"/>
      <c r="G161" s="34"/>
      <c r="H161" s="34"/>
      <c r="I161" s="34"/>
      <c r="J161" s="34"/>
      <c r="K161" s="34"/>
      <c r="L161" s="55"/>
      <c r="M161" s="55"/>
      <c r="N161" s="55"/>
      <c r="O161" s="55"/>
      <c r="P161" s="55"/>
      <c r="Q161" s="34"/>
    </row>
    <row r="162" spans="2:17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176"/>
      <c r="M162" s="44"/>
      <c r="N162" s="44"/>
      <c r="O162" s="44"/>
      <c r="P162" s="44"/>
      <c r="Q162" s="34"/>
    </row>
    <row r="163" spans="2:17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53"/>
      <c r="M163" s="53"/>
      <c r="N163" s="53"/>
      <c r="O163" s="53"/>
      <c r="P163" s="53"/>
      <c r="Q163" s="34"/>
    </row>
    <row r="164" spans="2:17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2:17">
      <c r="B165" s="16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2:17">
      <c r="B166" s="80"/>
      <c r="C166" s="34"/>
      <c r="D166" s="34"/>
      <c r="E166" s="34"/>
      <c r="F166" s="34"/>
      <c r="G166" s="34"/>
      <c r="H166" s="34"/>
      <c r="I166" s="34"/>
      <c r="J166" s="34"/>
      <c r="K166" s="34"/>
      <c r="L166" s="175"/>
      <c r="M166" s="55"/>
      <c r="N166" s="55"/>
      <c r="O166" s="55"/>
      <c r="P166" s="55"/>
      <c r="Q166" s="34"/>
    </row>
    <row r="167" spans="2:17">
      <c r="B167" s="34"/>
      <c r="C167" s="80"/>
      <c r="D167" s="34"/>
      <c r="E167" s="34"/>
      <c r="F167" s="34"/>
      <c r="G167" s="34"/>
      <c r="H167" s="34"/>
      <c r="I167" s="34"/>
      <c r="J167" s="34"/>
      <c r="K167" s="34"/>
      <c r="L167" s="175"/>
      <c r="M167" s="55"/>
      <c r="N167" s="55"/>
      <c r="O167" s="55"/>
      <c r="P167" s="55"/>
      <c r="Q167" s="34"/>
    </row>
    <row r="168" spans="2:17">
      <c r="B168" s="34"/>
      <c r="C168" s="80"/>
      <c r="D168" s="34"/>
      <c r="E168" s="34"/>
      <c r="F168" s="34"/>
      <c r="G168" s="177"/>
      <c r="H168" s="34"/>
      <c r="I168" s="34"/>
      <c r="J168" s="34"/>
      <c r="K168" s="34"/>
      <c r="L168" s="55"/>
      <c r="M168" s="55"/>
      <c r="N168" s="55"/>
      <c r="O168" s="55"/>
      <c r="P168" s="55"/>
      <c r="Q168" s="34"/>
    </row>
    <row r="169" spans="2:17">
      <c r="B169" s="80"/>
      <c r="C169" s="34"/>
      <c r="D169" s="34"/>
      <c r="E169" s="34"/>
      <c r="F169" s="34"/>
      <c r="G169" s="34"/>
      <c r="H169" s="34"/>
      <c r="I169" s="34"/>
      <c r="J169" s="34"/>
      <c r="K169" s="34"/>
      <c r="L169" s="55"/>
      <c r="M169" s="55"/>
      <c r="N169" s="55"/>
      <c r="O169" s="55"/>
      <c r="P169" s="55"/>
      <c r="Q169" s="34"/>
    </row>
    <row r="170" spans="2:17">
      <c r="B170" s="34"/>
      <c r="C170" s="80"/>
      <c r="D170" s="34"/>
      <c r="E170" s="34"/>
      <c r="F170" s="34"/>
      <c r="G170" s="34"/>
      <c r="H170" s="34"/>
      <c r="I170" s="34"/>
      <c r="J170" s="34"/>
      <c r="K170" s="34"/>
      <c r="L170" s="55"/>
      <c r="M170" s="55"/>
      <c r="N170" s="55"/>
      <c r="O170" s="55"/>
      <c r="P170" s="55"/>
      <c r="Q170" s="34"/>
    </row>
    <row r="171" spans="2:17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76"/>
      <c r="M171" s="44"/>
      <c r="N171" s="44"/>
      <c r="O171" s="44"/>
      <c r="P171" s="44"/>
      <c r="Q171" s="34"/>
    </row>
    <row r="172" spans="2:17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53"/>
      <c r="M172" s="53"/>
      <c r="N172" s="53"/>
      <c r="O172" s="53"/>
      <c r="P172" s="53"/>
      <c r="Q172" s="34"/>
    </row>
    <row r="173" spans="2:17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2:17">
      <c r="B174" s="16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2:17">
      <c r="B175" s="80"/>
      <c r="C175" s="34"/>
      <c r="D175" s="34"/>
      <c r="E175" s="34"/>
      <c r="F175" s="34"/>
      <c r="G175" s="34"/>
      <c r="H175" s="34"/>
      <c r="I175" s="34"/>
      <c r="J175" s="34"/>
      <c r="K175" s="34"/>
      <c r="L175" s="175"/>
      <c r="M175" s="55"/>
      <c r="N175" s="55"/>
      <c r="O175" s="55"/>
      <c r="P175" s="55"/>
      <c r="Q175" s="34"/>
    </row>
    <row r="176" spans="2:17">
      <c r="B176" s="34"/>
      <c r="C176" s="80"/>
      <c r="D176" s="34"/>
      <c r="E176" s="34"/>
      <c r="F176" s="34"/>
      <c r="G176" s="34"/>
      <c r="H176" s="34"/>
      <c r="I176" s="34"/>
      <c r="J176" s="34"/>
      <c r="K176" s="34"/>
      <c r="L176" s="175"/>
      <c r="M176" s="55"/>
      <c r="N176" s="55"/>
      <c r="O176" s="55"/>
      <c r="P176" s="55"/>
      <c r="Q176" s="34"/>
    </row>
    <row r="177" spans="2:17">
      <c r="B177" s="34"/>
      <c r="C177" s="80"/>
      <c r="D177" s="34"/>
      <c r="E177" s="34"/>
      <c r="F177" s="34"/>
      <c r="G177" s="34"/>
      <c r="H177" s="34"/>
      <c r="I177" s="34"/>
      <c r="J177" s="34"/>
      <c r="K177" s="34"/>
      <c r="L177" s="55"/>
      <c r="M177" s="55"/>
      <c r="N177" s="55"/>
      <c r="O177" s="55"/>
      <c r="P177" s="55"/>
      <c r="Q177" s="34"/>
    </row>
    <row r="178" spans="2:17">
      <c r="B178" s="80"/>
      <c r="C178" s="34"/>
      <c r="D178" s="34"/>
      <c r="E178" s="34"/>
      <c r="F178" s="34"/>
      <c r="G178" s="34"/>
      <c r="H178" s="34"/>
      <c r="I178" s="34"/>
      <c r="J178" s="34"/>
      <c r="K178" s="34"/>
      <c r="L178" s="55"/>
      <c r="M178" s="55"/>
      <c r="N178" s="55"/>
      <c r="O178" s="55"/>
      <c r="P178" s="55"/>
      <c r="Q178" s="34"/>
    </row>
    <row r="179" spans="2:17">
      <c r="B179" s="34"/>
      <c r="C179" s="80"/>
      <c r="D179" s="34"/>
      <c r="E179" s="34"/>
      <c r="F179" s="34"/>
      <c r="G179" s="34"/>
      <c r="H179" s="34"/>
      <c r="I179" s="34"/>
      <c r="J179" s="34"/>
      <c r="K179" s="34"/>
      <c r="L179" s="55"/>
      <c r="M179" s="55"/>
      <c r="N179" s="55"/>
      <c r="O179" s="55"/>
      <c r="P179" s="55"/>
      <c r="Q179" s="34"/>
    </row>
    <row r="180" spans="2:17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176"/>
      <c r="M180" s="44"/>
      <c r="N180" s="44"/>
      <c r="O180" s="44"/>
      <c r="P180" s="44"/>
      <c r="Q180" s="34"/>
    </row>
    <row r="181" spans="2:17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53"/>
      <c r="M181" s="53"/>
      <c r="N181" s="53"/>
      <c r="O181" s="53"/>
      <c r="P181" s="53"/>
      <c r="Q181" s="34"/>
    </row>
    <row r="182" spans="2:17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2:17">
      <c r="B183" s="16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2:17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175"/>
      <c r="M184" s="55"/>
      <c r="N184" s="55"/>
      <c r="O184" s="55"/>
      <c r="P184" s="55"/>
      <c r="Q184" s="34"/>
    </row>
    <row r="185" spans="2:17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2:17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2:17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2:17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2:17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2:17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2:17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2:17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2:17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2:17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2:17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2:17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2:17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2:17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2:17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2:17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2:17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2:17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2:17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2:17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2:17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2:17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2:17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2:17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2:17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2:17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2:17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2:17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2:17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2:17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2:17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2:17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2:17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2:17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2:17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2:17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2:17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2:17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2:17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2:17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2:17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2:17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2:17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2:17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2:17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2:17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2:17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2:17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2:17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2:17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2:17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2:17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2:17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2:17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2:17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2:17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2:17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2:17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2:17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2:17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2:17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2:17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2:17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2:17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2:17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2:17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2:17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2:17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2:17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2:17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2:17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2:17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2:17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2:17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2:17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2:17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2:17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2:17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2:17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2:17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2:17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2:17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2:17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2:17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2:17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2:17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2:17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2:17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2:17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2:17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2:17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2:17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2:17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2:17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2:17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2:17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2:17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2:17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2:17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2:17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2:17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2:17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2:17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2:17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2:17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2:17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2:17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2:17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2:17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2:17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2:17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2:17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2:17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2:17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2:17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2:17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2:17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2:17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2:17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2:17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2:17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2:17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2:17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2:17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2:17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2:17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2:17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2:17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2:17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2:17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2:17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2:17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2:17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2:17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2:17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2:17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2:17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2:17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2:17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2:17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2:17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2:17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2:17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2:17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2:17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2:17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2:17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2:17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2:17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2:17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2:17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2:17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2:17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2:17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2:17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2:17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2:17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2:17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2:17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2:17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2:17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2:17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2:17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2:17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2:17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2:17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2:17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2:17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2:17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2:17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2:17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2:17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2:17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2:17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2:17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2:17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2:17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2:17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2:17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</sheetData>
  <pageMargins left="0.75" right="0.75" top="1" bottom="1" header="0.5" footer="0.5"/>
  <pageSetup orientation="portrait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O29"/>
  <sheetViews>
    <sheetView workbookViewId="0">
      <selection activeCell="D30" sqref="D30"/>
    </sheetView>
  </sheetViews>
  <sheetFormatPr defaultColWidth="9.109375" defaultRowHeight="13.2"/>
  <cols>
    <col min="1" max="1" width="3.44140625" customWidth="1"/>
    <col min="2" max="2" width="41.77734375" customWidth="1"/>
    <col min="3" max="3" width="3" customWidth="1"/>
    <col min="4" max="4" width="12.109375" customWidth="1"/>
    <col min="5" max="5" width="15.33203125" customWidth="1"/>
    <col min="6" max="6" width="15.77734375" bestFit="1" customWidth="1"/>
    <col min="7" max="7" width="1.77734375" customWidth="1"/>
    <col min="8" max="8" width="16.33203125" customWidth="1"/>
    <col min="9" max="9" width="13.6640625" customWidth="1"/>
    <col min="10" max="10" width="1.44140625" customWidth="1"/>
    <col min="11" max="11" width="11.6640625" customWidth="1"/>
    <col min="12" max="12" width="18.44140625" customWidth="1"/>
    <col min="13" max="13" width="1.6640625" customWidth="1"/>
    <col min="14" max="14" width="10" customWidth="1"/>
    <col min="15" max="15" width="15.77734375" bestFit="1" customWidth="1"/>
    <col min="257" max="257" width="3.44140625" customWidth="1"/>
    <col min="258" max="258" width="41.77734375" customWidth="1"/>
    <col min="259" max="259" width="3" customWidth="1"/>
    <col min="260" max="260" width="12.109375" customWidth="1"/>
    <col min="261" max="261" width="15.33203125" customWidth="1"/>
    <col min="262" max="262" width="15.77734375" bestFit="1" customWidth="1"/>
    <col min="263" max="263" width="1.77734375" customWidth="1"/>
    <col min="264" max="264" width="16.33203125" customWidth="1"/>
    <col min="265" max="265" width="13.6640625" customWidth="1"/>
    <col min="266" max="266" width="1.44140625" customWidth="1"/>
    <col min="267" max="267" width="11.6640625" customWidth="1"/>
    <col min="268" max="268" width="18.44140625" customWidth="1"/>
    <col min="269" max="269" width="1.6640625" customWidth="1"/>
    <col min="270" max="270" width="10" customWidth="1"/>
    <col min="271" max="271" width="15.77734375" bestFit="1" customWidth="1"/>
    <col min="513" max="513" width="3.44140625" customWidth="1"/>
    <col min="514" max="514" width="41.77734375" customWidth="1"/>
    <col min="515" max="515" width="3" customWidth="1"/>
    <col min="516" max="516" width="12.109375" customWidth="1"/>
    <col min="517" max="517" width="15.33203125" customWidth="1"/>
    <col min="518" max="518" width="15.77734375" bestFit="1" customWidth="1"/>
    <col min="519" max="519" width="1.77734375" customWidth="1"/>
    <col min="520" max="520" width="16.33203125" customWidth="1"/>
    <col min="521" max="521" width="13.6640625" customWidth="1"/>
    <col min="522" max="522" width="1.44140625" customWidth="1"/>
    <col min="523" max="523" width="11.6640625" customWidth="1"/>
    <col min="524" max="524" width="18.44140625" customWidth="1"/>
    <col min="525" max="525" width="1.6640625" customWidth="1"/>
    <col min="526" max="526" width="10" customWidth="1"/>
    <col min="527" max="527" width="15.77734375" bestFit="1" customWidth="1"/>
    <col min="769" max="769" width="3.44140625" customWidth="1"/>
    <col min="770" max="770" width="41.77734375" customWidth="1"/>
    <col min="771" max="771" width="3" customWidth="1"/>
    <col min="772" max="772" width="12.109375" customWidth="1"/>
    <col min="773" max="773" width="15.33203125" customWidth="1"/>
    <col min="774" max="774" width="15.77734375" bestFit="1" customWidth="1"/>
    <col min="775" max="775" width="1.77734375" customWidth="1"/>
    <col min="776" max="776" width="16.33203125" customWidth="1"/>
    <col min="777" max="777" width="13.6640625" customWidth="1"/>
    <col min="778" max="778" width="1.44140625" customWidth="1"/>
    <col min="779" max="779" width="11.6640625" customWidth="1"/>
    <col min="780" max="780" width="18.44140625" customWidth="1"/>
    <col min="781" max="781" width="1.6640625" customWidth="1"/>
    <col min="782" max="782" width="10" customWidth="1"/>
    <col min="783" max="783" width="15.77734375" bestFit="1" customWidth="1"/>
    <col min="1025" max="1025" width="3.44140625" customWidth="1"/>
    <col min="1026" max="1026" width="41.77734375" customWidth="1"/>
    <col min="1027" max="1027" width="3" customWidth="1"/>
    <col min="1028" max="1028" width="12.109375" customWidth="1"/>
    <col min="1029" max="1029" width="15.33203125" customWidth="1"/>
    <col min="1030" max="1030" width="15.77734375" bestFit="1" customWidth="1"/>
    <col min="1031" max="1031" width="1.77734375" customWidth="1"/>
    <col min="1032" max="1032" width="16.33203125" customWidth="1"/>
    <col min="1033" max="1033" width="13.6640625" customWidth="1"/>
    <col min="1034" max="1034" width="1.44140625" customWidth="1"/>
    <col min="1035" max="1035" width="11.6640625" customWidth="1"/>
    <col min="1036" max="1036" width="18.44140625" customWidth="1"/>
    <col min="1037" max="1037" width="1.6640625" customWidth="1"/>
    <col min="1038" max="1038" width="10" customWidth="1"/>
    <col min="1039" max="1039" width="15.77734375" bestFit="1" customWidth="1"/>
    <col min="1281" max="1281" width="3.44140625" customWidth="1"/>
    <col min="1282" max="1282" width="41.77734375" customWidth="1"/>
    <col min="1283" max="1283" width="3" customWidth="1"/>
    <col min="1284" max="1284" width="12.109375" customWidth="1"/>
    <col min="1285" max="1285" width="15.33203125" customWidth="1"/>
    <col min="1286" max="1286" width="15.77734375" bestFit="1" customWidth="1"/>
    <col min="1287" max="1287" width="1.77734375" customWidth="1"/>
    <col min="1288" max="1288" width="16.33203125" customWidth="1"/>
    <col min="1289" max="1289" width="13.6640625" customWidth="1"/>
    <col min="1290" max="1290" width="1.44140625" customWidth="1"/>
    <col min="1291" max="1291" width="11.6640625" customWidth="1"/>
    <col min="1292" max="1292" width="18.44140625" customWidth="1"/>
    <col min="1293" max="1293" width="1.6640625" customWidth="1"/>
    <col min="1294" max="1294" width="10" customWidth="1"/>
    <col min="1295" max="1295" width="15.77734375" bestFit="1" customWidth="1"/>
    <col min="1537" max="1537" width="3.44140625" customWidth="1"/>
    <col min="1538" max="1538" width="41.77734375" customWidth="1"/>
    <col min="1539" max="1539" width="3" customWidth="1"/>
    <col min="1540" max="1540" width="12.109375" customWidth="1"/>
    <col min="1541" max="1541" width="15.33203125" customWidth="1"/>
    <col min="1542" max="1542" width="15.77734375" bestFit="1" customWidth="1"/>
    <col min="1543" max="1543" width="1.77734375" customWidth="1"/>
    <col min="1544" max="1544" width="16.33203125" customWidth="1"/>
    <col min="1545" max="1545" width="13.6640625" customWidth="1"/>
    <col min="1546" max="1546" width="1.44140625" customWidth="1"/>
    <col min="1547" max="1547" width="11.6640625" customWidth="1"/>
    <col min="1548" max="1548" width="18.44140625" customWidth="1"/>
    <col min="1549" max="1549" width="1.6640625" customWidth="1"/>
    <col min="1550" max="1550" width="10" customWidth="1"/>
    <col min="1551" max="1551" width="15.77734375" bestFit="1" customWidth="1"/>
    <col min="1793" max="1793" width="3.44140625" customWidth="1"/>
    <col min="1794" max="1794" width="41.77734375" customWidth="1"/>
    <col min="1795" max="1795" width="3" customWidth="1"/>
    <col min="1796" max="1796" width="12.109375" customWidth="1"/>
    <col min="1797" max="1797" width="15.33203125" customWidth="1"/>
    <col min="1798" max="1798" width="15.77734375" bestFit="1" customWidth="1"/>
    <col min="1799" max="1799" width="1.77734375" customWidth="1"/>
    <col min="1800" max="1800" width="16.33203125" customWidth="1"/>
    <col min="1801" max="1801" width="13.6640625" customWidth="1"/>
    <col min="1802" max="1802" width="1.44140625" customWidth="1"/>
    <col min="1803" max="1803" width="11.6640625" customWidth="1"/>
    <col min="1804" max="1804" width="18.44140625" customWidth="1"/>
    <col min="1805" max="1805" width="1.6640625" customWidth="1"/>
    <col min="1806" max="1806" width="10" customWidth="1"/>
    <col min="1807" max="1807" width="15.77734375" bestFit="1" customWidth="1"/>
    <col min="2049" max="2049" width="3.44140625" customWidth="1"/>
    <col min="2050" max="2050" width="41.77734375" customWidth="1"/>
    <col min="2051" max="2051" width="3" customWidth="1"/>
    <col min="2052" max="2052" width="12.109375" customWidth="1"/>
    <col min="2053" max="2053" width="15.33203125" customWidth="1"/>
    <col min="2054" max="2054" width="15.77734375" bestFit="1" customWidth="1"/>
    <col min="2055" max="2055" width="1.77734375" customWidth="1"/>
    <col min="2056" max="2056" width="16.33203125" customWidth="1"/>
    <col min="2057" max="2057" width="13.6640625" customWidth="1"/>
    <col min="2058" max="2058" width="1.44140625" customWidth="1"/>
    <col min="2059" max="2059" width="11.6640625" customWidth="1"/>
    <col min="2060" max="2060" width="18.44140625" customWidth="1"/>
    <col min="2061" max="2061" width="1.6640625" customWidth="1"/>
    <col min="2062" max="2062" width="10" customWidth="1"/>
    <col min="2063" max="2063" width="15.77734375" bestFit="1" customWidth="1"/>
    <col min="2305" max="2305" width="3.44140625" customWidth="1"/>
    <col min="2306" max="2306" width="41.77734375" customWidth="1"/>
    <col min="2307" max="2307" width="3" customWidth="1"/>
    <col min="2308" max="2308" width="12.109375" customWidth="1"/>
    <col min="2309" max="2309" width="15.33203125" customWidth="1"/>
    <col min="2310" max="2310" width="15.77734375" bestFit="1" customWidth="1"/>
    <col min="2311" max="2311" width="1.77734375" customWidth="1"/>
    <col min="2312" max="2312" width="16.33203125" customWidth="1"/>
    <col min="2313" max="2313" width="13.6640625" customWidth="1"/>
    <col min="2314" max="2314" width="1.44140625" customWidth="1"/>
    <col min="2315" max="2315" width="11.6640625" customWidth="1"/>
    <col min="2316" max="2316" width="18.44140625" customWidth="1"/>
    <col min="2317" max="2317" width="1.6640625" customWidth="1"/>
    <col min="2318" max="2318" width="10" customWidth="1"/>
    <col min="2319" max="2319" width="15.77734375" bestFit="1" customWidth="1"/>
    <col min="2561" max="2561" width="3.44140625" customWidth="1"/>
    <col min="2562" max="2562" width="41.77734375" customWidth="1"/>
    <col min="2563" max="2563" width="3" customWidth="1"/>
    <col min="2564" max="2564" width="12.109375" customWidth="1"/>
    <col min="2565" max="2565" width="15.33203125" customWidth="1"/>
    <col min="2566" max="2566" width="15.77734375" bestFit="1" customWidth="1"/>
    <col min="2567" max="2567" width="1.77734375" customWidth="1"/>
    <col min="2568" max="2568" width="16.33203125" customWidth="1"/>
    <col min="2569" max="2569" width="13.6640625" customWidth="1"/>
    <col min="2570" max="2570" width="1.44140625" customWidth="1"/>
    <col min="2571" max="2571" width="11.6640625" customWidth="1"/>
    <col min="2572" max="2572" width="18.44140625" customWidth="1"/>
    <col min="2573" max="2573" width="1.6640625" customWidth="1"/>
    <col min="2574" max="2574" width="10" customWidth="1"/>
    <col min="2575" max="2575" width="15.77734375" bestFit="1" customWidth="1"/>
    <col min="2817" max="2817" width="3.44140625" customWidth="1"/>
    <col min="2818" max="2818" width="41.77734375" customWidth="1"/>
    <col min="2819" max="2819" width="3" customWidth="1"/>
    <col min="2820" max="2820" width="12.109375" customWidth="1"/>
    <col min="2821" max="2821" width="15.33203125" customWidth="1"/>
    <col min="2822" max="2822" width="15.77734375" bestFit="1" customWidth="1"/>
    <col min="2823" max="2823" width="1.77734375" customWidth="1"/>
    <col min="2824" max="2824" width="16.33203125" customWidth="1"/>
    <col min="2825" max="2825" width="13.6640625" customWidth="1"/>
    <col min="2826" max="2826" width="1.44140625" customWidth="1"/>
    <col min="2827" max="2827" width="11.6640625" customWidth="1"/>
    <col min="2828" max="2828" width="18.44140625" customWidth="1"/>
    <col min="2829" max="2829" width="1.6640625" customWidth="1"/>
    <col min="2830" max="2830" width="10" customWidth="1"/>
    <col min="2831" max="2831" width="15.77734375" bestFit="1" customWidth="1"/>
    <col min="3073" max="3073" width="3.44140625" customWidth="1"/>
    <col min="3074" max="3074" width="41.77734375" customWidth="1"/>
    <col min="3075" max="3075" width="3" customWidth="1"/>
    <col min="3076" max="3076" width="12.109375" customWidth="1"/>
    <col min="3077" max="3077" width="15.33203125" customWidth="1"/>
    <col min="3078" max="3078" width="15.77734375" bestFit="1" customWidth="1"/>
    <col min="3079" max="3079" width="1.77734375" customWidth="1"/>
    <col min="3080" max="3080" width="16.33203125" customWidth="1"/>
    <col min="3081" max="3081" width="13.6640625" customWidth="1"/>
    <col min="3082" max="3082" width="1.44140625" customWidth="1"/>
    <col min="3083" max="3083" width="11.6640625" customWidth="1"/>
    <col min="3084" max="3084" width="18.44140625" customWidth="1"/>
    <col min="3085" max="3085" width="1.6640625" customWidth="1"/>
    <col min="3086" max="3086" width="10" customWidth="1"/>
    <col min="3087" max="3087" width="15.77734375" bestFit="1" customWidth="1"/>
    <col min="3329" max="3329" width="3.44140625" customWidth="1"/>
    <col min="3330" max="3330" width="41.77734375" customWidth="1"/>
    <col min="3331" max="3331" width="3" customWidth="1"/>
    <col min="3332" max="3332" width="12.109375" customWidth="1"/>
    <col min="3333" max="3333" width="15.33203125" customWidth="1"/>
    <col min="3334" max="3334" width="15.77734375" bestFit="1" customWidth="1"/>
    <col min="3335" max="3335" width="1.77734375" customWidth="1"/>
    <col min="3336" max="3336" width="16.33203125" customWidth="1"/>
    <col min="3337" max="3337" width="13.6640625" customWidth="1"/>
    <col min="3338" max="3338" width="1.44140625" customWidth="1"/>
    <col min="3339" max="3339" width="11.6640625" customWidth="1"/>
    <col min="3340" max="3340" width="18.44140625" customWidth="1"/>
    <col min="3341" max="3341" width="1.6640625" customWidth="1"/>
    <col min="3342" max="3342" width="10" customWidth="1"/>
    <col min="3343" max="3343" width="15.77734375" bestFit="1" customWidth="1"/>
    <col min="3585" max="3585" width="3.44140625" customWidth="1"/>
    <col min="3586" max="3586" width="41.77734375" customWidth="1"/>
    <col min="3587" max="3587" width="3" customWidth="1"/>
    <col min="3588" max="3588" width="12.109375" customWidth="1"/>
    <col min="3589" max="3589" width="15.33203125" customWidth="1"/>
    <col min="3590" max="3590" width="15.77734375" bestFit="1" customWidth="1"/>
    <col min="3591" max="3591" width="1.77734375" customWidth="1"/>
    <col min="3592" max="3592" width="16.33203125" customWidth="1"/>
    <col min="3593" max="3593" width="13.6640625" customWidth="1"/>
    <col min="3594" max="3594" width="1.44140625" customWidth="1"/>
    <col min="3595" max="3595" width="11.6640625" customWidth="1"/>
    <col min="3596" max="3596" width="18.44140625" customWidth="1"/>
    <col min="3597" max="3597" width="1.6640625" customWidth="1"/>
    <col min="3598" max="3598" width="10" customWidth="1"/>
    <col min="3599" max="3599" width="15.77734375" bestFit="1" customWidth="1"/>
    <col min="3841" max="3841" width="3.44140625" customWidth="1"/>
    <col min="3842" max="3842" width="41.77734375" customWidth="1"/>
    <col min="3843" max="3843" width="3" customWidth="1"/>
    <col min="3844" max="3844" width="12.109375" customWidth="1"/>
    <col min="3845" max="3845" width="15.33203125" customWidth="1"/>
    <col min="3846" max="3846" width="15.77734375" bestFit="1" customWidth="1"/>
    <col min="3847" max="3847" width="1.77734375" customWidth="1"/>
    <col min="3848" max="3848" width="16.33203125" customWidth="1"/>
    <col min="3849" max="3849" width="13.6640625" customWidth="1"/>
    <col min="3850" max="3850" width="1.44140625" customWidth="1"/>
    <col min="3851" max="3851" width="11.6640625" customWidth="1"/>
    <col min="3852" max="3852" width="18.44140625" customWidth="1"/>
    <col min="3853" max="3853" width="1.6640625" customWidth="1"/>
    <col min="3854" max="3854" width="10" customWidth="1"/>
    <col min="3855" max="3855" width="15.77734375" bestFit="1" customWidth="1"/>
    <col min="4097" max="4097" width="3.44140625" customWidth="1"/>
    <col min="4098" max="4098" width="41.77734375" customWidth="1"/>
    <col min="4099" max="4099" width="3" customWidth="1"/>
    <col min="4100" max="4100" width="12.109375" customWidth="1"/>
    <col min="4101" max="4101" width="15.33203125" customWidth="1"/>
    <col min="4102" max="4102" width="15.77734375" bestFit="1" customWidth="1"/>
    <col min="4103" max="4103" width="1.77734375" customWidth="1"/>
    <col min="4104" max="4104" width="16.33203125" customWidth="1"/>
    <col min="4105" max="4105" width="13.6640625" customWidth="1"/>
    <col min="4106" max="4106" width="1.44140625" customWidth="1"/>
    <col min="4107" max="4107" width="11.6640625" customWidth="1"/>
    <col min="4108" max="4108" width="18.44140625" customWidth="1"/>
    <col min="4109" max="4109" width="1.6640625" customWidth="1"/>
    <col min="4110" max="4110" width="10" customWidth="1"/>
    <col min="4111" max="4111" width="15.77734375" bestFit="1" customWidth="1"/>
    <col min="4353" max="4353" width="3.44140625" customWidth="1"/>
    <col min="4354" max="4354" width="41.77734375" customWidth="1"/>
    <col min="4355" max="4355" width="3" customWidth="1"/>
    <col min="4356" max="4356" width="12.109375" customWidth="1"/>
    <col min="4357" max="4357" width="15.33203125" customWidth="1"/>
    <col min="4358" max="4358" width="15.77734375" bestFit="1" customWidth="1"/>
    <col min="4359" max="4359" width="1.77734375" customWidth="1"/>
    <col min="4360" max="4360" width="16.33203125" customWidth="1"/>
    <col min="4361" max="4361" width="13.6640625" customWidth="1"/>
    <col min="4362" max="4362" width="1.44140625" customWidth="1"/>
    <col min="4363" max="4363" width="11.6640625" customWidth="1"/>
    <col min="4364" max="4364" width="18.44140625" customWidth="1"/>
    <col min="4365" max="4365" width="1.6640625" customWidth="1"/>
    <col min="4366" max="4366" width="10" customWidth="1"/>
    <col min="4367" max="4367" width="15.77734375" bestFit="1" customWidth="1"/>
    <col min="4609" max="4609" width="3.44140625" customWidth="1"/>
    <col min="4610" max="4610" width="41.77734375" customWidth="1"/>
    <col min="4611" max="4611" width="3" customWidth="1"/>
    <col min="4612" max="4612" width="12.109375" customWidth="1"/>
    <col min="4613" max="4613" width="15.33203125" customWidth="1"/>
    <col min="4614" max="4614" width="15.77734375" bestFit="1" customWidth="1"/>
    <col min="4615" max="4615" width="1.77734375" customWidth="1"/>
    <col min="4616" max="4616" width="16.33203125" customWidth="1"/>
    <col min="4617" max="4617" width="13.6640625" customWidth="1"/>
    <col min="4618" max="4618" width="1.44140625" customWidth="1"/>
    <col min="4619" max="4619" width="11.6640625" customWidth="1"/>
    <col min="4620" max="4620" width="18.44140625" customWidth="1"/>
    <col min="4621" max="4621" width="1.6640625" customWidth="1"/>
    <col min="4622" max="4622" width="10" customWidth="1"/>
    <col min="4623" max="4623" width="15.77734375" bestFit="1" customWidth="1"/>
    <col min="4865" max="4865" width="3.44140625" customWidth="1"/>
    <col min="4866" max="4866" width="41.77734375" customWidth="1"/>
    <col min="4867" max="4867" width="3" customWidth="1"/>
    <col min="4868" max="4868" width="12.109375" customWidth="1"/>
    <col min="4869" max="4869" width="15.33203125" customWidth="1"/>
    <col min="4870" max="4870" width="15.77734375" bestFit="1" customWidth="1"/>
    <col min="4871" max="4871" width="1.77734375" customWidth="1"/>
    <col min="4872" max="4872" width="16.33203125" customWidth="1"/>
    <col min="4873" max="4873" width="13.6640625" customWidth="1"/>
    <col min="4874" max="4874" width="1.44140625" customWidth="1"/>
    <col min="4875" max="4875" width="11.6640625" customWidth="1"/>
    <col min="4876" max="4876" width="18.44140625" customWidth="1"/>
    <col min="4877" max="4877" width="1.6640625" customWidth="1"/>
    <col min="4878" max="4878" width="10" customWidth="1"/>
    <col min="4879" max="4879" width="15.77734375" bestFit="1" customWidth="1"/>
    <col min="5121" max="5121" width="3.44140625" customWidth="1"/>
    <col min="5122" max="5122" width="41.77734375" customWidth="1"/>
    <col min="5123" max="5123" width="3" customWidth="1"/>
    <col min="5124" max="5124" width="12.109375" customWidth="1"/>
    <col min="5125" max="5125" width="15.33203125" customWidth="1"/>
    <col min="5126" max="5126" width="15.77734375" bestFit="1" customWidth="1"/>
    <col min="5127" max="5127" width="1.77734375" customWidth="1"/>
    <col min="5128" max="5128" width="16.33203125" customWidth="1"/>
    <col min="5129" max="5129" width="13.6640625" customWidth="1"/>
    <col min="5130" max="5130" width="1.44140625" customWidth="1"/>
    <col min="5131" max="5131" width="11.6640625" customWidth="1"/>
    <col min="5132" max="5132" width="18.44140625" customWidth="1"/>
    <col min="5133" max="5133" width="1.6640625" customWidth="1"/>
    <col min="5134" max="5134" width="10" customWidth="1"/>
    <col min="5135" max="5135" width="15.77734375" bestFit="1" customWidth="1"/>
    <col min="5377" max="5377" width="3.44140625" customWidth="1"/>
    <col min="5378" max="5378" width="41.77734375" customWidth="1"/>
    <col min="5379" max="5379" width="3" customWidth="1"/>
    <col min="5380" max="5380" width="12.109375" customWidth="1"/>
    <col min="5381" max="5381" width="15.33203125" customWidth="1"/>
    <col min="5382" max="5382" width="15.77734375" bestFit="1" customWidth="1"/>
    <col min="5383" max="5383" width="1.77734375" customWidth="1"/>
    <col min="5384" max="5384" width="16.33203125" customWidth="1"/>
    <col min="5385" max="5385" width="13.6640625" customWidth="1"/>
    <col min="5386" max="5386" width="1.44140625" customWidth="1"/>
    <col min="5387" max="5387" width="11.6640625" customWidth="1"/>
    <col min="5388" max="5388" width="18.44140625" customWidth="1"/>
    <col min="5389" max="5389" width="1.6640625" customWidth="1"/>
    <col min="5390" max="5390" width="10" customWidth="1"/>
    <col min="5391" max="5391" width="15.77734375" bestFit="1" customWidth="1"/>
    <col min="5633" max="5633" width="3.44140625" customWidth="1"/>
    <col min="5634" max="5634" width="41.77734375" customWidth="1"/>
    <col min="5635" max="5635" width="3" customWidth="1"/>
    <col min="5636" max="5636" width="12.109375" customWidth="1"/>
    <col min="5637" max="5637" width="15.33203125" customWidth="1"/>
    <col min="5638" max="5638" width="15.77734375" bestFit="1" customWidth="1"/>
    <col min="5639" max="5639" width="1.77734375" customWidth="1"/>
    <col min="5640" max="5640" width="16.33203125" customWidth="1"/>
    <col min="5641" max="5641" width="13.6640625" customWidth="1"/>
    <col min="5642" max="5642" width="1.44140625" customWidth="1"/>
    <col min="5643" max="5643" width="11.6640625" customWidth="1"/>
    <col min="5644" max="5644" width="18.44140625" customWidth="1"/>
    <col min="5645" max="5645" width="1.6640625" customWidth="1"/>
    <col min="5646" max="5646" width="10" customWidth="1"/>
    <col min="5647" max="5647" width="15.77734375" bestFit="1" customWidth="1"/>
    <col min="5889" max="5889" width="3.44140625" customWidth="1"/>
    <col min="5890" max="5890" width="41.77734375" customWidth="1"/>
    <col min="5891" max="5891" width="3" customWidth="1"/>
    <col min="5892" max="5892" width="12.109375" customWidth="1"/>
    <col min="5893" max="5893" width="15.33203125" customWidth="1"/>
    <col min="5894" max="5894" width="15.77734375" bestFit="1" customWidth="1"/>
    <col min="5895" max="5895" width="1.77734375" customWidth="1"/>
    <col min="5896" max="5896" width="16.33203125" customWidth="1"/>
    <col min="5897" max="5897" width="13.6640625" customWidth="1"/>
    <col min="5898" max="5898" width="1.44140625" customWidth="1"/>
    <col min="5899" max="5899" width="11.6640625" customWidth="1"/>
    <col min="5900" max="5900" width="18.44140625" customWidth="1"/>
    <col min="5901" max="5901" width="1.6640625" customWidth="1"/>
    <col min="5902" max="5902" width="10" customWidth="1"/>
    <col min="5903" max="5903" width="15.77734375" bestFit="1" customWidth="1"/>
    <col min="6145" max="6145" width="3.44140625" customWidth="1"/>
    <col min="6146" max="6146" width="41.77734375" customWidth="1"/>
    <col min="6147" max="6147" width="3" customWidth="1"/>
    <col min="6148" max="6148" width="12.109375" customWidth="1"/>
    <col min="6149" max="6149" width="15.33203125" customWidth="1"/>
    <col min="6150" max="6150" width="15.77734375" bestFit="1" customWidth="1"/>
    <col min="6151" max="6151" width="1.77734375" customWidth="1"/>
    <col min="6152" max="6152" width="16.33203125" customWidth="1"/>
    <col min="6153" max="6153" width="13.6640625" customWidth="1"/>
    <col min="6154" max="6154" width="1.44140625" customWidth="1"/>
    <col min="6155" max="6155" width="11.6640625" customWidth="1"/>
    <col min="6156" max="6156" width="18.44140625" customWidth="1"/>
    <col min="6157" max="6157" width="1.6640625" customWidth="1"/>
    <col min="6158" max="6158" width="10" customWidth="1"/>
    <col min="6159" max="6159" width="15.77734375" bestFit="1" customWidth="1"/>
    <col min="6401" max="6401" width="3.44140625" customWidth="1"/>
    <col min="6402" max="6402" width="41.77734375" customWidth="1"/>
    <col min="6403" max="6403" width="3" customWidth="1"/>
    <col min="6404" max="6404" width="12.109375" customWidth="1"/>
    <col min="6405" max="6405" width="15.33203125" customWidth="1"/>
    <col min="6406" max="6406" width="15.77734375" bestFit="1" customWidth="1"/>
    <col min="6407" max="6407" width="1.77734375" customWidth="1"/>
    <col min="6408" max="6408" width="16.33203125" customWidth="1"/>
    <col min="6409" max="6409" width="13.6640625" customWidth="1"/>
    <col min="6410" max="6410" width="1.44140625" customWidth="1"/>
    <col min="6411" max="6411" width="11.6640625" customWidth="1"/>
    <col min="6412" max="6412" width="18.44140625" customWidth="1"/>
    <col min="6413" max="6413" width="1.6640625" customWidth="1"/>
    <col min="6414" max="6414" width="10" customWidth="1"/>
    <col min="6415" max="6415" width="15.77734375" bestFit="1" customWidth="1"/>
    <col min="6657" max="6657" width="3.44140625" customWidth="1"/>
    <col min="6658" max="6658" width="41.77734375" customWidth="1"/>
    <col min="6659" max="6659" width="3" customWidth="1"/>
    <col min="6660" max="6660" width="12.109375" customWidth="1"/>
    <col min="6661" max="6661" width="15.33203125" customWidth="1"/>
    <col min="6662" max="6662" width="15.77734375" bestFit="1" customWidth="1"/>
    <col min="6663" max="6663" width="1.77734375" customWidth="1"/>
    <col min="6664" max="6664" width="16.33203125" customWidth="1"/>
    <col min="6665" max="6665" width="13.6640625" customWidth="1"/>
    <col min="6666" max="6666" width="1.44140625" customWidth="1"/>
    <col min="6667" max="6667" width="11.6640625" customWidth="1"/>
    <col min="6668" max="6668" width="18.44140625" customWidth="1"/>
    <col min="6669" max="6669" width="1.6640625" customWidth="1"/>
    <col min="6670" max="6670" width="10" customWidth="1"/>
    <col min="6671" max="6671" width="15.77734375" bestFit="1" customWidth="1"/>
    <col min="6913" max="6913" width="3.44140625" customWidth="1"/>
    <col min="6914" max="6914" width="41.77734375" customWidth="1"/>
    <col min="6915" max="6915" width="3" customWidth="1"/>
    <col min="6916" max="6916" width="12.109375" customWidth="1"/>
    <col min="6917" max="6917" width="15.33203125" customWidth="1"/>
    <col min="6918" max="6918" width="15.77734375" bestFit="1" customWidth="1"/>
    <col min="6919" max="6919" width="1.77734375" customWidth="1"/>
    <col min="6920" max="6920" width="16.33203125" customWidth="1"/>
    <col min="6921" max="6921" width="13.6640625" customWidth="1"/>
    <col min="6922" max="6922" width="1.44140625" customWidth="1"/>
    <col min="6923" max="6923" width="11.6640625" customWidth="1"/>
    <col min="6924" max="6924" width="18.44140625" customWidth="1"/>
    <col min="6925" max="6925" width="1.6640625" customWidth="1"/>
    <col min="6926" max="6926" width="10" customWidth="1"/>
    <col min="6927" max="6927" width="15.77734375" bestFit="1" customWidth="1"/>
    <col min="7169" max="7169" width="3.44140625" customWidth="1"/>
    <col min="7170" max="7170" width="41.77734375" customWidth="1"/>
    <col min="7171" max="7171" width="3" customWidth="1"/>
    <col min="7172" max="7172" width="12.109375" customWidth="1"/>
    <col min="7173" max="7173" width="15.33203125" customWidth="1"/>
    <col min="7174" max="7174" width="15.77734375" bestFit="1" customWidth="1"/>
    <col min="7175" max="7175" width="1.77734375" customWidth="1"/>
    <col min="7176" max="7176" width="16.33203125" customWidth="1"/>
    <col min="7177" max="7177" width="13.6640625" customWidth="1"/>
    <col min="7178" max="7178" width="1.44140625" customWidth="1"/>
    <col min="7179" max="7179" width="11.6640625" customWidth="1"/>
    <col min="7180" max="7180" width="18.44140625" customWidth="1"/>
    <col min="7181" max="7181" width="1.6640625" customWidth="1"/>
    <col min="7182" max="7182" width="10" customWidth="1"/>
    <col min="7183" max="7183" width="15.77734375" bestFit="1" customWidth="1"/>
    <col min="7425" max="7425" width="3.44140625" customWidth="1"/>
    <col min="7426" max="7426" width="41.77734375" customWidth="1"/>
    <col min="7427" max="7427" width="3" customWidth="1"/>
    <col min="7428" max="7428" width="12.109375" customWidth="1"/>
    <col min="7429" max="7429" width="15.33203125" customWidth="1"/>
    <col min="7430" max="7430" width="15.77734375" bestFit="1" customWidth="1"/>
    <col min="7431" max="7431" width="1.77734375" customWidth="1"/>
    <col min="7432" max="7432" width="16.33203125" customWidth="1"/>
    <col min="7433" max="7433" width="13.6640625" customWidth="1"/>
    <col min="7434" max="7434" width="1.44140625" customWidth="1"/>
    <col min="7435" max="7435" width="11.6640625" customWidth="1"/>
    <col min="7436" max="7436" width="18.44140625" customWidth="1"/>
    <col min="7437" max="7437" width="1.6640625" customWidth="1"/>
    <col min="7438" max="7438" width="10" customWidth="1"/>
    <col min="7439" max="7439" width="15.77734375" bestFit="1" customWidth="1"/>
    <col min="7681" max="7681" width="3.44140625" customWidth="1"/>
    <col min="7682" max="7682" width="41.77734375" customWidth="1"/>
    <col min="7683" max="7683" width="3" customWidth="1"/>
    <col min="7684" max="7684" width="12.109375" customWidth="1"/>
    <col min="7685" max="7685" width="15.33203125" customWidth="1"/>
    <col min="7686" max="7686" width="15.77734375" bestFit="1" customWidth="1"/>
    <col min="7687" max="7687" width="1.77734375" customWidth="1"/>
    <col min="7688" max="7688" width="16.33203125" customWidth="1"/>
    <col min="7689" max="7689" width="13.6640625" customWidth="1"/>
    <col min="7690" max="7690" width="1.44140625" customWidth="1"/>
    <col min="7691" max="7691" width="11.6640625" customWidth="1"/>
    <col min="7692" max="7692" width="18.44140625" customWidth="1"/>
    <col min="7693" max="7693" width="1.6640625" customWidth="1"/>
    <col min="7694" max="7694" width="10" customWidth="1"/>
    <col min="7695" max="7695" width="15.77734375" bestFit="1" customWidth="1"/>
    <col min="7937" max="7937" width="3.44140625" customWidth="1"/>
    <col min="7938" max="7938" width="41.77734375" customWidth="1"/>
    <col min="7939" max="7939" width="3" customWidth="1"/>
    <col min="7940" max="7940" width="12.109375" customWidth="1"/>
    <col min="7941" max="7941" width="15.33203125" customWidth="1"/>
    <col min="7942" max="7942" width="15.77734375" bestFit="1" customWidth="1"/>
    <col min="7943" max="7943" width="1.77734375" customWidth="1"/>
    <col min="7944" max="7944" width="16.33203125" customWidth="1"/>
    <col min="7945" max="7945" width="13.6640625" customWidth="1"/>
    <col min="7946" max="7946" width="1.44140625" customWidth="1"/>
    <col min="7947" max="7947" width="11.6640625" customWidth="1"/>
    <col min="7948" max="7948" width="18.44140625" customWidth="1"/>
    <col min="7949" max="7949" width="1.6640625" customWidth="1"/>
    <col min="7950" max="7950" width="10" customWidth="1"/>
    <col min="7951" max="7951" width="15.77734375" bestFit="1" customWidth="1"/>
    <col min="8193" max="8193" width="3.44140625" customWidth="1"/>
    <col min="8194" max="8194" width="41.77734375" customWidth="1"/>
    <col min="8195" max="8195" width="3" customWidth="1"/>
    <col min="8196" max="8196" width="12.109375" customWidth="1"/>
    <col min="8197" max="8197" width="15.33203125" customWidth="1"/>
    <col min="8198" max="8198" width="15.77734375" bestFit="1" customWidth="1"/>
    <col min="8199" max="8199" width="1.77734375" customWidth="1"/>
    <col min="8200" max="8200" width="16.33203125" customWidth="1"/>
    <col min="8201" max="8201" width="13.6640625" customWidth="1"/>
    <col min="8202" max="8202" width="1.44140625" customWidth="1"/>
    <col min="8203" max="8203" width="11.6640625" customWidth="1"/>
    <col min="8204" max="8204" width="18.44140625" customWidth="1"/>
    <col min="8205" max="8205" width="1.6640625" customWidth="1"/>
    <col min="8206" max="8206" width="10" customWidth="1"/>
    <col min="8207" max="8207" width="15.77734375" bestFit="1" customWidth="1"/>
    <col min="8449" max="8449" width="3.44140625" customWidth="1"/>
    <col min="8450" max="8450" width="41.77734375" customWidth="1"/>
    <col min="8451" max="8451" width="3" customWidth="1"/>
    <col min="8452" max="8452" width="12.109375" customWidth="1"/>
    <col min="8453" max="8453" width="15.33203125" customWidth="1"/>
    <col min="8454" max="8454" width="15.77734375" bestFit="1" customWidth="1"/>
    <col min="8455" max="8455" width="1.77734375" customWidth="1"/>
    <col min="8456" max="8456" width="16.33203125" customWidth="1"/>
    <col min="8457" max="8457" width="13.6640625" customWidth="1"/>
    <col min="8458" max="8458" width="1.44140625" customWidth="1"/>
    <col min="8459" max="8459" width="11.6640625" customWidth="1"/>
    <col min="8460" max="8460" width="18.44140625" customWidth="1"/>
    <col min="8461" max="8461" width="1.6640625" customWidth="1"/>
    <col min="8462" max="8462" width="10" customWidth="1"/>
    <col min="8463" max="8463" width="15.77734375" bestFit="1" customWidth="1"/>
    <col min="8705" max="8705" width="3.44140625" customWidth="1"/>
    <col min="8706" max="8706" width="41.77734375" customWidth="1"/>
    <col min="8707" max="8707" width="3" customWidth="1"/>
    <col min="8708" max="8708" width="12.109375" customWidth="1"/>
    <col min="8709" max="8709" width="15.33203125" customWidth="1"/>
    <col min="8710" max="8710" width="15.77734375" bestFit="1" customWidth="1"/>
    <col min="8711" max="8711" width="1.77734375" customWidth="1"/>
    <col min="8712" max="8712" width="16.33203125" customWidth="1"/>
    <col min="8713" max="8713" width="13.6640625" customWidth="1"/>
    <col min="8714" max="8714" width="1.44140625" customWidth="1"/>
    <col min="8715" max="8715" width="11.6640625" customWidth="1"/>
    <col min="8716" max="8716" width="18.44140625" customWidth="1"/>
    <col min="8717" max="8717" width="1.6640625" customWidth="1"/>
    <col min="8718" max="8718" width="10" customWidth="1"/>
    <col min="8719" max="8719" width="15.77734375" bestFit="1" customWidth="1"/>
    <col min="8961" max="8961" width="3.44140625" customWidth="1"/>
    <col min="8962" max="8962" width="41.77734375" customWidth="1"/>
    <col min="8963" max="8963" width="3" customWidth="1"/>
    <col min="8964" max="8964" width="12.109375" customWidth="1"/>
    <col min="8965" max="8965" width="15.33203125" customWidth="1"/>
    <col min="8966" max="8966" width="15.77734375" bestFit="1" customWidth="1"/>
    <col min="8967" max="8967" width="1.77734375" customWidth="1"/>
    <col min="8968" max="8968" width="16.33203125" customWidth="1"/>
    <col min="8969" max="8969" width="13.6640625" customWidth="1"/>
    <col min="8970" max="8970" width="1.44140625" customWidth="1"/>
    <col min="8971" max="8971" width="11.6640625" customWidth="1"/>
    <col min="8972" max="8972" width="18.44140625" customWidth="1"/>
    <col min="8973" max="8973" width="1.6640625" customWidth="1"/>
    <col min="8974" max="8974" width="10" customWidth="1"/>
    <col min="8975" max="8975" width="15.77734375" bestFit="1" customWidth="1"/>
    <col min="9217" max="9217" width="3.44140625" customWidth="1"/>
    <col min="9218" max="9218" width="41.77734375" customWidth="1"/>
    <col min="9219" max="9219" width="3" customWidth="1"/>
    <col min="9220" max="9220" width="12.109375" customWidth="1"/>
    <col min="9221" max="9221" width="15.33203125" customWidth="1"/>
    <col min="9222" max="9222" width="15.77734375" bestFit="1" customWidth="1"/>
    <col min="9223" max="9223" width="1.77734375" customWidth="1"/>
    <col min="9224" max="9224" width="16.33203125" customWidth="1"/>
    <col min="9225" max="9225" width="13.6640625" customWidth="1"/>
    <col min="9226" max="9226" width="1.44140625" customWidth="1"/>
    <col min="9227" max="9227" width="11.6640625" customWidth="1"/>
    <col min="9228" max="9228" width="18.44140625" customWidth="1"/>
    <col min="9229" max="9229" width="1.6640625" customWidth="1"/>
    <col min="9230" max="9230" width="10" customWidth="1"/>
    <col min="9231" max="9231" width="15.77734375" bestFit="1" customWidth="1"/>
    <col min="9473" max="9473" width="3.44140625" customWidth="1"/>
    <col min="9474" max="9474" width="41.77734375" customWidth="1"/>
    <col min="9475" max="9475" width="3" customWidth="1"/>
    <col min="9476" max="9476" width="12.109375" customWidth="1"/>
    <col min="9477" max="9477" width="15.33203125" customWidth="1"/>
    <col min="9478" max="9478" width="15.77734375" bestFit="1" customWidth="1"/>
    <col min="9479" max="9479" width="1.77734375" customWidth="1"/>
    <col min="9480" max="9480" width="16.33203125" customWidth="1"/>
    <col min="9481" max="9481" width="13.6640625" customWidth="1"/>
    <col min="9482" max="9482" width="1.44140625" customWidth="1"/>
    <col min="9483" max="9483" width="11.6640625" customWidth="1"/>
    <col min="9484" max="9484" width="18.44140625" customWidth="1"/>
    <col min="9485" max="9485" width="1.6640625" customWidth="1"/>
    <col min="9486" max="9486" width="10" customWidth="1"/>
    <col min="9487" max="9487" width="15.77734375" bestFit="1" customWidth="1"/>
    <col min="9729" max="9729" width="3.44140625" customWidth="1"/>
    <col min="9730" max="9730" width="41.77734375" customWidth="1"/>
    <col min="9731" max="9731" width="3" customWidth="1"/>
    <col min="9732" max="9732" width="12.109375" customWidth="1"/>
    <col min="9733" max="9733" width="15.33203125" customWidth="1"/>
    <col min="9734" max="9734" width="15.77734375" bestFit="1" customWidth="1"/>
    <col min="9735" max="9735" width="1.77734375" customWidth="1"/>
    <col min="9736" max="9736" width="16.33203125" customWidth="1"/>
    <col min="9737" max="9737" width="13.6640625" customWidth="1"/>
    <col min="9738" max="9738" width="1.44140625" customWidth="1"/>
    <col min="9739" max="9739" width="11.6640625" customWidth="1"/>
    <col min="9740" max="9740" width="18.44140625" customWidth="1"/>
    <col min="9741" max="9741" width="1.6640625" customWidth="1"/>
    <col min="9742" max="9742" width="10" customWidth="1"/>
    <col min="9743" max="9743" width="15.77734375" bestFit="1" customWidth="1"/>
    <col min="9985" max="9985" width="3.44140625" customWidth="1"/>
    <col min="9986" max="9986" width="41.77734375" customWidth="1"/>
    <col min="9987" max="9987" width="3" customWidth="1"/>
    <col min="9988" max="9988" width="12.109375" customWidth="1"/>
    <col min="9989" max="9989" width="15.33203125" customWidth="1"/>
    <col min="9990" max="9990" width="15.77734375" bestFit="1" customWidth="1"/>
    <col min="9991" max="9991" width="1.77734375" customWidth="1"/>
    <col min="9992" max="9992" width="16.33203125" customWidth="1"/>
    <col min="9993" max="9993" width="13.6640625" customWidth="1"/>
    <col min="9994" max="9994" width="1.44140625" customWidth="1"/>
    <col min="9995" max="9995" width="11.6640625" customWidth="1"/>
    <col min="9996" max="9996" width="18.44140625" customWidth="1"/>
    <col min="9997" max="9997" width="1.6640625" customWidth="1"/>
    <col min="9998" max="9998" width="10" customWidth="1"/>
    <col min="9999" max="9999" width="15.77734375" bestFit="1" customWidth="1"/>
    <col min="10241" max="10241" width="3.44140625" customWidth="1"/>
    <col min="10242" max="10242" width="41.77734375" customWidth="1"/>
    <col min="10243" max="10243" width="3" customWidth="1"/>
    <col min="10244" max="10244" width="12.109375" customWidth="1"/>
    <col min="10245" max="10245" width="15.33203125" customWidth="1"/>
    <col min="10246" max="10246" width="15.77734375" bestFit="1" customWidth="1"/>
    <col min="10247" max="10247" width="1.77734375" customWidth="1"/>
    <col min="10248" max="10248" width="16.33203125" customWidth="1"/>
    <col min="10249" max="10249" width="13.6640625" customWidth="1"/>
    <col min="10250" max="10250" width="1.44140625" customWidth="1"/>
    <col min="10251" max="10251" width="11.6640625" customWidth="1"/>
    <col min="10252" max="10252" width="18.44140625" customWidth="1"/>
    <col min="10253" max="10253" width="1.6640625" customWidth="1"/>
    <col min="10254" max="10254" width="10" customWidth="1"/>
    <col min="10255" max="10255" width="15.77734375" bestFit="1" customWidth="1"/>
    <col min="10497" max="10497" width="3.44140625" customWidth="1"/>
    <col min="10498" max="10498" width="41.77734375" customWidth="1"/>
    <col min="10499" max="10499" width="3" customWidth="1"/>
    <col min="10500" max="10500" width="12.109375" customWidth="1"/>
    <col min="10501" max="10501" width="15.33203125" customWidth="1"/>
    <col min="10502" max="10502" width="15.77734375" bestFit="1" customWidth="1"/>
    <col min="10503" max="10503" width="1.77734375" customWidth="1"/>
    <col min="10504" max="10504" width="16.33203125" customWidth="1"/>
    <col min="10505" max="10505" width="13.6640625" customWidth="1"/>
    <col min="10506" max="10506" width="1.44140625" customWidth="1"/>
    <col min="10507" max="10507" width="11.6640625" customWidth="1"/>
    <col min="10508" max="10508" width="18.44140625" customWidth="1"/>
    <col min="10509" max="10509" width="1.6640625" customWidth="1"/>
    <col min="10510" max="10510" width="10" customWidth="1"/>
    <col min="10511" max="10511" width="15.77734375" bestFit="1" customWidth="1"/>
    <col min="10753" max="10753" width="3.44140625" customWidth="1"/>
    <col min="10754" max="10754" width="41.77734375" customWidth="1"/>
    <col min="10755" max="10755" width="3" customWidth="1"/>
    <col min="10756" max="10756" width="12.109375" customWidth="1"/>
    <col min="10757" max="10757" width="15.33203125" customWidth="1"/>
    <col min="10758" max="10758" width="15.77734375" bestFit="1" customWidth="1"/>
    <col min="10759" max="10759" width="1.77734375" customWidth="1"/>
    <col min="10760" max="10760" width="16.33203125" customWidth="1"/>
    <col min="10761" max="10761" width="13.6640625" customWidth="1"/>
    <col min="10762" max="10762" width="1.44140625" customWidth="1"/>
    <col min="10763" max="10763" width="11.6640625" customWidth="1"/>
    <col min="10764" max="10764" width="18.44140625" customWidth="1"/>
    <col min="10765" max="10765" width="1.6640625" customWidth="1"/>
    <col min="10766" max="10766" width="10" customWidth="1"/>
    <col min="10767" max="10767" width="15.77734375" bestFit="1" customWidth="1"/>
    <col min="11009" max="11009" width="3.44140625" customWidth="1"/>
    <col min="11010" max="11010" width="41.77734375" customWidth="1"/>
    <col min="11011" max="11011" width="3" customWidth="1"/>
    <col min="11012" max="11012" width="12.109375" customWidth="1"/>
    <col min="11013" max="11013" width="15.33203125" customWidth="1"/>
    <col min="11014" max="11014" width="15.77734375" bestFit="1" customWidth="1"/>
    <col min="11015" max="11015" width="1.77734375" customWidth="1"/>
    <col min="11016" max="11016" width="16.33203125" customWidth="1"/>
    <col min="11017" max="11017" width="13.6640625" customWidth="1"/>
    <col min="11018" max="11018" width="1.44140625" customWidth="1"/>
    <col min="11019" max="11019" width="11.6640625" customWidth="1"/>
    <col min="11020" max="11020" width="18.44140625" customWidth="1"/>
    <col min="11021" max="11021" width="1.6640625" customWidth="1"/>
    <col min="11022" max="11022" width="10" customWidth="1"/>
    <col min="11023" max="11023" width="15.77734375" bestFit="1" customWidth="1"/>
    <col min="11265" max="11265" width="3.44140625" customWidth="1"/>
    <col min="11266" max="11266" width="41.77734375" customWidth="1"/>
    <col min="11267" max="11267" width="3" customWidth="1"/>
    <col min="11268" max="11268" width="12.109375" customWidth="1"/>
    <col min="11269" max="11269" width="15.33203125" customWidth="1"/>
    <col min="11270" max="11270" width="15.77734375" bestFit="1" customWidth="1"/>
    <col min="11271" max="11271" width="1.77734375" customWidth="1"/>
    <col min="11272" max="11272" width="16.33203125" customWidth="1"/>
    <col min="11273" max="11273" width="13.6640625" customWidth="1"/>
    <col min="11274" max="11274" width="1.44140625" customWidth="1"/>
    <col min="11275" max="11275" width="11.6640625" customWidth="1"/>
    <col min="11276" max="11276" width="18.44140625" customWidth="1"/>
    <col min="11277" max="11277" width="1.6640625" customWidth="1"/>
    <col min="11278" max="11278" width="10" customWidth="1"/>
    <col min="11279" max="11279" width="15.77734375" bestFit="1" customWidth="1"/>
    <col min="11521" max="11521" width="3.44140625" customWidth="1"/>
    <col min="11522" max="11522" width="41.77734375" customWidth="1"/>
    <col min="11523" max="11523" width="3" customWidth="1"/>
    <col min="11524" max="11524" width="12.109375" customWidth="1"/>
    <col min="11525" max="11525" width="15.33203125" customWidth="1"/>
    <col min="11526" max="11526" width="15.77734375" bestFit="1" customWidth="1"/>
    <col min="11527" max="11527" width="1.77734375" customWidth="1"/>
    <col min="11528" max="11528" width="16.33203125" customWidth="1"/>
    <col min="11529" max="11529" width="13.6640625" customWidth="1"/>
    <col min="11530" max="11530" width="1.44140625" customWidth="1"/>
    <col min="11531" max="11531" width="11.6640625" customWidth="1"/>
    <col min="11532" max="11532" width="18.44140625" customWidth="1"/>
    <col min="11533" max="11533" width="1.6640625" customWidth="1"/>
    <col min="11534" max="11534" width="10" customWidth="1"/>
    <col min="11535" max="11535" width="15.77734375" bestFit="1" customWidth="1"/>
    <col min="11777" max="11777" width="3.44140625" customWidth="1"/>
    <col min="11778" max="11778" width="41.77734375" customWidth="1"/>
    <col min="11779" max="11779" width="3" customWidth="1"/>
    <col min="11780" max="11780" width="12.109375" customWidth="1"/>
    <col min="11781" max="11781" width="15.33203125" customWidth="1"/>
    <col min="11782" max="11782" width="15.77734375" bestFit="1" customWidth="1"/>
    <col min="11783" max="11783" width="1.77734375" customWidth="1"/>
    <col min="11784" max="11784" width="16.33203125" customWidth="1"/>
    <col min="11785" max="11785" width="13.6640625" customWidth="1"/>
    <col min="11786" max="11786" width="1.44140625" customWidth="1"/>
    <col min="11787" max="11787" width="11.6640625" customWidth="1"/>
    <col min="11788" max="11788" width="18.44140625" customWidth="1"/>
    <col min="11789" max="11789" width="1.6640625" customWidth="1"/>
    <col min="11790" max="11790" width="10" customWidth="1"/>
    <col min="11791" max="11791" width="15.77734375" bestFit="1" customWidth="1"/>
    <col min="12033" max="12033" width="3.44140625" customWidth="1"/>
    <col min="12034" max="12034" width="41.77734375" customWidth="1"/>
    <col min="12035" max="12035" width="3" customWidth="1"/>
    <col min="12036" max="12036" width="12.109375" customWidth="1"/>
    <col min="12037" max="12037" width="15.33203125" customWidth="1"/>
    <col min="12038" max="12038" width="15.77734375" bestFit="1" customWidth="1"/>
    <col min="12039" max="12039" width="1.77734375" customWidth="1"/>
    <col min="12040" max="12040" width="16.33203125" customWidth="1"/>
    <col min="12041" max="12041" width="13.6640625" customWidth="1"/>
    <col min="12042" max="12042" width="1.44140625" customWidth="1"/>
    <col min="12043" max="12043" width="11.6640625" customWidth="1"/>
    <col min="12044" max="12044" width="18.44140625" customWidth="1"/>
    <col min="12045" max="12045" width="1.6640625" customWidth="1"/>
    <col min="12046" max="12046" width="10" customWidth="1"/>
    <col min="12047" max="12047" width="15.77734375" bestFit="1" customWidth="1"/>
    <col min="12289" max="12289" width="3.44140625" customWidth="1"/>
    <col min="12290" max="12290" width="41.77734375" customWidth="1"/>
    <col min="12291" max="12291" width="3" customWidth="1"/>
    <col min="12292" max="12292" width="12.109375" customWidth="1"/>
    <col min="12293" max="12293" width="15.33203125" customWidth="1"/>
    <col min="12294" max="12294" width="15.77734375" bestFit="1" customWidth="1"/>
    <col min="12295" max="12295" width="1.77734375" customWidth="1"/>
    <col min="12296" max="12296" width="16.33203125" customWidth="1"/>
    <col min="12297" max="12297" width="13.6640625" customWidth="1"/>
    <col min="12298" max="12298" width="1.44140625" customWidth="1"/>
    <col min="12299" max="12299" width="11.6640625" customWidth="1"/>
    <col min="12300" max="12300" width="18.44140625" customWidth="1"/>
    <col min="12301" max="12301" width="1.6640625" customWidth="1"/>
    <col min="12302" max="12302" width="10" customWidth="1"/>
    <col min="12303" max="12303" width="15.77734375" bestFit="1" customWidth="1"/>
    <col min="12545" max="12545" width="3.44140625" customWidth="1"/>
    <col min="12546" max="12546" width="41.77734375" customWidth="1"/>
    <col min="12547" max="12547" width="3" customWidth="1"/>
    <col min="12548" max="12548" width="12.109375" customWidth="1"/>
    <col min="12549" max="12549" width="15.33203125" customWidth="1"/>
    <col min="12550" max="12550" width="15.77734375" bestFit="1" customWidth="1"/>
    <col min="12551" max="12551" width="1.77734375" customWidth="1"/>
    <col min="12552" max="12552" width="16.33203125" customWidth="1"/>
    <col min="12553" max="12553" width="13.6640625" customWidth="1"/>
    <col min="12554" max="12554" width="1.44140625" customWidth="1"/>
    <col min="12555" max="12555" width="11.6640625" customWidth="1"/>
    <col min="12556" max="12556" width="18.44140625" customWidth="1"/>
    <col min="12557" max="12557" width="1.6640625" customWidth="1"/>
    <col min="12558" max="12558" width="10" customWidth="1"/>
    <col min="12559" max="12559" width="15.77734375" bestFit="1" customWidth="1"/>
    <col min="12801" max="12801" width="3.44140625" customWidth="1"/>
    <col min="12802" max="12802" width="41.77734375" customWidth="1"/>
    <col min="12803" max="12803" width="3" customWidth="1"/>
    <col min="12804" max="12804" width="12.109375" customWidth="1"/>
    <col min="12805" max="12805" width="15.33203125" customWidth="1"/>
    <col min="12806" max="12806" width="15.77734375" bestFit="1" customWidth="1"/>
    <col min="12807" max="12807" width="1.77734375" customWidth="1"/>
    <col min="12808" max="12808" width="16.33203125" customWidth="1"/>
    <col min="12809" max="12809" width="13.6640625" customWidth="1"/>
    <col min="12810" max="12810" width="1.44140625" customWidth="1"/>
    <col min="12811" max="12811" width="11.6640625" customWidth="1"/>
    <col min="12812" max="12812" width="18.44140625" customWidth="1"/>
    <col min="12813" max="12813" width="1.6640625" customWidth="1"/>
    <col min="12814" max="12814" width="10" customWidth="1"/>
    <col min="12815" max="12815" width="15.77734375" bestFit="1" customWidth="1"/>
    <col min="13057" max="13057" width="3.44140625" customWidth="1"/>
    <col min="13058" max="13058" width="41.77734375" customWidth="1"/>
    <col min="13059" max="13059" width="3" customWidth="1"/>
    <col min="13060" max="13060" width="12.109375" customWidth="1"/>
    <col min="13061" max="13061" width="15.33203125" customWidth="1"/>
    <col min="13062" max="13062" width="15.77734375" bestFit="1" customWidth="1"/>
    <col min="13063" max="13063" width="1.77734375" customWidth="1"/>
    <col min="13064" max="13064" width="16.33203125" customWidth="1"/>
    <col min="13065" max="13065" width="13.6640625" customWidth="1"/>
    <col min="13066" max="13066" width="1.44140625" customWidth="1"/>
    <col min="13067" max="13067" width="11.6640625" customWidth="1"/>
    <col min="13068" max="13068" width="18.44140625" customWidth="1"/>
    <col min="13069" max="13069" width="1.6640625" customWidth="1"/>
    <col min="13070" max="13070" width="10" customWidth="1"/>
    <col min="13071" max="13071" width="15.77734375" bestFit="1" customWidth="1"/>
    <col min="13313" max="13313" width="3.44140625" customWidth="1"/>
    <col min="13314" max="13314" width="41.77734375" customWidth="1"/>
    <col min="13315" max="13315" width="3" customWidth="1"/>
    <col min="13316" max="13316" width="12.109375" customWidth="1"/>
    <col min="13317" max="13317" width="15.33203125" customWidth="1"/>
    <col min="13318" max="13318" width="15.77734375" bestFit="1" customWidth="1"/>
    <col min="13319" max="13319" width="1.77734375" customWidth="1"/>
    <col min="13320" max="13320" width="16.33203125" customWidth="1"/>
    <col min="13321" max="13321" width="13.6640625" customWidth="1"/>
    <col min="13322" max="13322" width="1.44140625" customWidth="1"/>
    <col min="13323" max="13323" width="11.6640625" customWidth="1"/>
    <col min="13324" max="13324" width="18.44140625" customWidth="1"/>
    <col min="13325" max="13325" width="1.6640625" customWidth="1"/>
    <col min="13326" max="13326" width="10" customWidth="1"/>
    <col min="13327" max="13327" width="15.77734375" bestFit="1" customWidth="1"/>
    <col min="13569" max="13569" width="3.44140625" customWidth="1"/>
    <col min="13570" max="13570" width="41.77734375" customWidth="1"/>
    <col min="13571" max="13571" width="3" customWidth="1"/>
    <col min="13572" max="13572" width="12.109375" customWidth="1"/>
    <col min="13573" max="13573" width="15.33203125" customWidth="1"/>
    <col min="13574" max="13574" width="15.77734375" bestFit="1" customWidth="1"/>
    <col min="13575" max="13575" width="1.77734375" customWidth="1"/>
    <col min="13576" max="13576" width="16.33203125" customWidth="1"/>
    <col min="13577" max="13577" width="13.6640625" customWidth="1"/>
    <col min="13578" max="13578" width="1.44140625" customWidth="1"/>
    <col min="13579" max="13579" width="11.6640625" customWidth="1"/>
    <col min="13580" max="13580" width="18.44140625" customWidth="1"/>
    <col min="13581" max="13581" width="1.6640625" customWidth="1"/>
    <col min="13582" max="13582" width="10" customWidth="1"/>
    <col min="13583" max="13583" width="15.77734375" bestFit="1" customWidth="1"/>
    <col min="13825" max="13825" width="3.44140625" customWidth="1"/>
    <col min="13826" max="13826" width="41.77734375" customWidth="1"/>
    <col min="13827" max="13827" width="3" customWidth="1"/>
    <col min="13828" max="13828" width="12.109375" customWidth="1"/>
    <col min="13829" max="13829" width="15.33203125" customWidth="1"/>
    <col min="13830" max="13830" width="15.77734375" bestFit="1" customWidth="1"/>
    <col min="13831" max="13831" width="1.77734375" customWidth="1"/>
    <col min="13832" max="13832" width="16.33203125" customWidth="1"/>
    <col min="13833" max="13833" width="13.6640625" customWidth="1"/>
    <col min="13834" max="13834" width="1.44140625" customWidth="1"/>
    <col min="13835" max="13835" width="11.6640625" customWidth="1"/>
    <col min="13836" max="13836" width="18.44140625" customWidth="1"/>
    <col min="13837" max="13837" width="1.6640625" customWidth="1"/>
    <col min="13838" max="13838" width="10" customWidth="1"/>
    <col min="13839" max="13839" width="15.77734375" bestFit="1" customWidth="1"/>
    <col min="14081" max="14081" width="3.44140625" customWidth="1"/>
    <col min="14082" max="14082" width="41.77734375" customWidth="1"/>
    <col min="14083" max="14083" width="3" customWidth="1"/>
    <col min="14084" max="14084" width="12.109375" customWidth="1"/>
    <col min="14085" max="14085" width="15.33203125" customWidth="1"/>
    <col min="14086" max="14086" width="15.77734375" bestFit="1" customWidth="1"/>
    <col min="14087" max="14087" width="1.77734375" customWidth="1"/>
    <col min="14088" max="14088" width="16.33203125" customWidth="1"/>
    <col min="14089" max="14089" width="13.6640625" customWidth="1"/>
    <col min="14090" max="14090" width="1.44140625" customWidth="1"/>
    <col min="14091" max="14091" width="11.6640625" customWidth="1"/>
    <col min="14092" max="14092" width="18.44140625" customWidth="1"/>
    <col min="14093" max="14093" width="1.6640625" customWidth="1"/>
    <col min="14094" max="14094" width="10" customWidth="1"/>
    <col min="14095" max="14095" width="15.77734375" bestFit="1" customWidth="1"/>
    <col min="14337" max="14337" width="3.44140625" customWidth="1"/>
    <col min="14338" max="14338" width="41.77734375" customWidth="1"/>
    <col min="14339" max="14339" width="3" customWidth="1"/>
    <col min="14340" max="14340" width="12.109375" customWidth="1"/>
    <col min="14341" max="14341" width="15.33203125" customWidth="1"/>
    <col min="14342" max="14342" width="15.77734375" bestFit="1" customWidth="1"/>
    <col min="14343" max="14343" width="1.77734375" customWidth="1"/>
    <col min="14344" max="14344" width="16.33203125" customWidth="1"/>
    <col min="14345" max="14345" width="13.6640625" customWidth="1"/>
    <col min="14346" max="14346" width="1.44140625" customWidth="1"/>
    <col min="14347" max="14347" width="11.6640625" customWidth="1"/>
    <col min="14348" max="14348" width="18.44140625" customWidth="1"/>
    <col min="14349" max="14349" width="1.6640625" customWidth="1"/>
    <col min="14350" max="14350" width="10" customWidth="1"/>
    <col min="14351" max="14351" width="15.77734375" bestFit="1" customWidth="1"/>
    <col min="14593" max="14593" width="3.44140625" customWidth="1"/>
    <col min="14594" max="14594" width="41.77734375" customWidth="1"/>
    <col min="14595" max="14595" width="3" customWidth="1"/>
    <col min="14596" max="14596" width="12.109375" customWidth="1"/>
    <col min="14597" max="14597" width="15.33203125" customWidth="1"/>
    <col min="14598" max="14598" width="15.77734375" bestFit="1" customWidth="1"/>
    <col min="14599" max="14599" width="1.77734375" customWidth="1"/>
    <col min="14600" max="14600" width="16.33203125" customWidth="1"/>
    <col min="14601" max="14601" width="13.6640625" customWidth="1"/>
    <col min="14602" max="14602" width="1.44140625" customWidth="1"/>
    <col min="14603" max="14603" width="11.6640625" customWidth="1"/>
    <col min="14604" max="14604" width="18.44140625" customWidth="1"/>
    <col min="14605" max="14605" width="1.6640625" customWidth="1"/>
    <col min="14606" max="14606" width="10" customWidth="1"/>
    <col min="14607" max="14607" width="15.77734375" bestFit="1" customWidth="1"/>
    <col min="14849" max="14849" width="3.44140625" customWidth="1"/>
    <col min="14850" max="14850" width="41.77734375" customWidth="1"/>
    <col min="14851" max="14851" width="3" customWidth="1"/>
    <col min="14852" max="14852" width="12.109375" customWidth="1"/>
    <col min="14853" max="14853" width="15.33203125" customWidth="1"/>
    <col min="14854" max="14854" width="15.77734375" bestFit="1" customWidth="1"/>
    <col min="14855" max="14855" width="1.77734375" customWidth="1"/>
    <col min="14856" max="14856" width="16.33203125" customWidth="1"/>
    <col min="14857" max="14857" width="13.6640625" customWidth="1"/>
    <col min="14858" max="14858" width="1.44140625" customWidth="1"/>
    <col min="14859" max="14859" width="11.6640625" customWidth="1"/>
    <col min="14860" max="14860" width="18.44140625" customWidth="1"/>
    <col min="14861" max="14861" width="1.6640625" customWidth="1"/>
    <col min="14862" max="14862" width="10" customWidth="1"/>
    <col min="14863" max="14863" width="15.77734375" bestFit="1" customWidth="1"/>
    <col min="15105" max="15105" width="3.44140625" customWidth="1"/>
    <col min="15106" max="15106" width="41.77734375" customWidth="1"/>
    <col min="15107" max="15107" width="3" customWidth="1"/>
    <col min="15108" max="15108" width="12.109375" customWidth="1"/>
    <col min="15109" max="15109" width="15.33203125" customWidth="1"/>
    <col min="15110" max="15110" width="15.77734375" bestFit="1" customWidth="1"/>
    <col min="15111" max="15111" width="1.77734375" customWidth="1"/>
    <col min="15112" max="15112" width="16.33203125" customWidth="1"/>
    <col min="15113" max="15113" width="13.6640625" customWidth="1"/>
    <col min="15114" max="15114" width="1.44140625" customWidth="1"/>
    <col min="15115" max="15115" width="11.6640625" customWidth="1"/>
    <col min="15116" max="15116" width="18.44140625" customWidth="1"/>
    <col min="15117" max="15117" width="1.6640625" customWidth="1"/>
    <col min="15118" max="15118" width="10" customWidth="1"/>
    <col min="15119" max="15119" width="15.77734375" bestFit="1" customWidth="1"/>
    <col min="15361" max="15361" width="3.44140625" customWidth="1"/>
    <col min="15362" max="15362" width="41.77734375" customWidth="1"/>
    <col min="15363" max="15363" width="3" customWidth="1"/>
    <col min="15364" max="15364" width="12.109375" customWidth="1"/>
    <col min="15365" max="15365" width="15.33203125" customWidth="1"/>
    <col min="15366" max="15366" width="15.77734375" bestFit="1" customWidth="1"/>
    <col min="15367" max="15367" width="1.77734375" customWidth="1"/>
    <col min="15368" max="15368" width="16.33203125" customWidth="1"/>
    <col min="15369" max="15369" width="13.6640625" customWidth="1"/>
    <col min="15370" max="15370" width="1.44140625" customWidth="1"/>
    <col min="15371" max="15371" width="11.6640625" customWidth="1"/>
    <col min="15372" max="15372" width="18.44140625" customWidth="1"/>
    <col min="15373" max="15373" width="1.6640625" customWidth="1"/>
    <col min="15374" max="15374" width="10" customWidth="1"/>
    <col min="15375" max="15375" width="15.77734375" bestFit="1" customWidth="1"/>
    <col min="15617" max="15617" width="3.44140625" customWidth="1"/>
    <col min="15618" max="15618" width="41.77734375" customWidth="1"/>
    <col min="15619" max="15619" width="3" customWidth="1"/>
    <col min="15620" max="15620" width="12.109375" customWidth="1"/>
    <col min="15621" max="15621" width="15.33203125" customWidth="1"/>
    <col min="15622" max="15622" width="15.77734375" bestFit="1" customWidth="1"/>
    <col min="15623" max="15623" width="1.77734375" customWidth="1"/>
    <col min="15624" max="15624" width="16.33203125" customWidth="1"/>
    <col min="15625" max="15625" width="13.6640625" customWidth="1"/>
    <col min="15626" max="15626" width="1.44140625" customWidth="1"/>
    <col min="15627" max="15627" width="11.6640625" customWidth="1"/>
    <col min="15628" max="15628" width="18.44140625" customWidth="1"/>
    <col min="15629" max="15629" width="1.6640625" customWidth="1"/>
    <col min="15630" max="15630" width="10" customWidth="1"/>
    <col min="15631" max="15631" width="15.77734375" bestFit="1" customWidth="1"/>
    <col min="15873" max="15873" width="3.44140625" customWidth="1"/>
    <col min="15874" max="15874" width="41.77734375" customWidth="1"/>
    <col min="15875" max="15875" width="3" customWidth="1"/>
    <col min="15876" max="15876" width="12.109375" customWidth="1"/>
    <col min="15877" max="15877" width="15.33203125" customWidth="1"/>
    <col min="15878" max="15878" width="15.77734375" bestFit="1" customWidth="1"/>
    <col min="15879" max="15879" width="1.77734375" customWidth="1"/>
    <col min="15880" max="15880" width="16.33203125" customWidth="1"/>
    <col min="15881" max="15881" width="13.6640625" customWidth="1"/>
    <col min="15882" max="15882" width="1.44140625" customWidth="1"/>
    <col min="15883" max="15883" width="11.6640625" customWidth="1"/>
    <col min="15884" max="15884" width="18.44140625" customWidth="1"/>
    <col min="15885" max="15885" width="1.6640625" customWidth="1"/>
    <col min="15886" max="15886" width="10" customWidth="1"/>
    <col min="15887" max="15887" width="15.77734375" bestFit="1" customWidth="1"/>
    <col min="16129" max="16129" width="3.44140625" customWidth="1"/>
    <col min="16130" max="16130" width="41.77734375" customWidth="1"/>
    <col min="16131" max="16131" width="3" customWidth="1"/>
    <col min="16132" max="16132" width="12.109375" customWidth="1"/>
    <col min="16133" max="16133" width="15.33203125" customWidth="1"/>
    <col min="16134" max="16134" width="15.77734375" bestFit="1" customWidth="1"/>
    <col min="16135" max="16135" width="1.77734375" customWidth="1"/>
    <col min="16136" max="16136" width="16.33203125" customWidth="1"/>
    <col min="16137" max="16137" width="13.6640625" customWidth="1"/>
    <col min="16138" max="16138" width="1.44140625" customWidth="1"/>
    <col min="16139" max="16139" width="11.6640625" customWidth="1"/>
    <col min="16140" max="16140" width="18.44140625" customWidth="1"/>
    <col min="16141" max="16141" width="1.6640625" customWidth="1"/>
    <col min="16142" max="16142" width="10" customWidth="1"/>
    <col min="16143" max="16143" width="15.77734375" bestFit="1" customWidth="1"/>
  </cols>
  <sheetData>
    <row r="1" spans="2:15" ht="18.75" customHeight="1">
      <c r="B1" s="189" t="s">
        <v>216</v>
      </c>
      <c r="C1" s="189"/>
      <c r="D1" s="190"/>
      <c r="E1" s="190"/>
      <c r="F1" s="190"/>
      <c r="G1" s="190"/>
    </row>
    <row r="2" spans="2:15">
      <c r="B2" s="183"/>
      <c r="C2" s="183"/>
      <c r="D2" s="31"/>
      <c r="E2" s="278" t="s">
        <v>217</v>
      </c>
      <c r="F2" s="278"/>
      <c r="G2" s="191"/>
      <c r="H2" s="278" t="s">
        <v>218</v>
      </c>
      <c r="I2" s="278"/>
      <c r="K2" s="278"/>
      <c r="L2" s="278"/>
      <c r="N2" s="183"/>
      <c r="O2" s="191"/>
    </row>
    <row r="3" spans="2:15">
      <c r="B3" s="31"/>
      <c r="C3" s="31"/>
      <c r="D3" s="183" t="s">
        <v>219</v>
      </c>
      <c r="E3" s="191" t="s">
        <v>5</v>
      </c>
      <c r="F3" s="191" t="s">
        <v>220</v>
      </c>
      <c r="G3" s="191"/>
      <c r="H3" s="191" t="s">
        <v>5</v>
      </c>
      <c r="I3" s="191" t="s">
        <v>221</v>
      </c>
      <c r="J3" s="191"/>
      <c r="K3" s="191"/>
      <c r="L3" s="191"/>
      <c r="N3" s="183"/>
      <c r="O3" s="191"/>
    </row>
    <row r="4" spans="2:15">
      <c r="B4" s="31" t="s">
        <v>222</v>
      </c>
      <c r="C4" s="31"/>
      <c r="D4" s="31" t="s">
        <v>223</v>
      </c>
      <c r="E4" s="192">
        <f>SUM('Cap Table - All Securityholders'!B5:B11)</f>
        <v>20450000</v>
      </c>
      <c r="F4" s="193">
        <f>E4/E10</f>
        <v>0.88913043478260867</v>
      </c>
      <c r="G4" s="194"/>
      <c r="H4" s="192">
        <f>E4</f>
        <v>20450000</v>
      </c>
      <c r="I4" s="194">
        <f>H4/H10</f>
        <v>0.82405791342008328</v>
      </c>
      <c r="J4" s="195"/>
      <c r="K4" s="196"/>
      <c r="L4" s="194"/>
      <c r="N4" s="195"/>
      <c r="O4" s="197"/>
    </row>
    <row r="5" spans="2:15">
      <c r="B5" s="31" t="s">
        <v>224</v>
      </c>
      <c r="C5" s="31"/>
      <c r="D5" s="31" t="s">
        <v>223</v>
      </c>
      <c r="E5" s="198">
        <v>0</v>
      </c>
      <c r="F5" s="193">
        <f>E5/E10</f>
        <v>0</v>
      </c>
      <c r="G5" s="194"/>
      <c r="H5" s="192">
        <f>E5</f>
        <v>0</v>
      </c>
      <c r="I5" s="194">
        <f>H5/H10</f>
        <v>0</v>
      </c>
      <c r="J5" s="195"/>
      <c r="K5" s="198"/>
      <c r="L5" s="194"/>
      <c r="N5" s="195"/>
      <c r="O5" s="197"/>
    </row>
    <row r="6" spans="2:15">
      <c r="B6" s="31" t="s">
        <v>225</v>
      </c>
      <c r="C6" s="31"/>
      <c r="D6" s="31" t="s">
        <v>223</v>
      </c>
      <c r="E6" s="198">
        <v>0</v>
      </c>
      <c r="F6" s="193">
        <f>E6/E10</f>
        <v>0</v>
      </c>
      <c r="G6" s="194"/>
      <c r="H6" s="192">
        <f>E6</f>
        <v>0</v>
      </c>
      <c r="I6" s="194">
        <f>H6/H10</f>
        <v>0</v>
      </c>
      <c r="J6" s="195"/>
      <c r="K6" s="198"/>
      <c r="L6" s="194"/>
      <c r="N6" s="195"/>
      <c r="O6" s="197"/>
    </row>
    <row r="7" spans="2:15">
      <c r="B7" s="31" t="s">
        <v>226</v>
      </c>
      <c r="C7" s="31"/>
      <c r="D7" s="31" t="s">
        <v>223</v>
      </c>
      <c r="E7" s="192">
        <v>275000</v>
      </c>
      <c r="F7" s="193">
        <f>E7/E10</f>
        <v>1.1956521739130435E-2</v>
      </c>
      <c r="G7" s="194"/>
      <c r="H7" s="192">
        <f>E7</f>
        <v>275000</v>
      </c>
      <c r="I7" s="194">
        <f>H7/H10</f>
        <v>1.1081463383399654E-2</v>
      </c>
      <c r="J7" s="195"/>
      <c r="K7" s="198"/>
      <c r="L7" s="194"/>
      <c r="N7" s="195"/>
      <c r="O7" s="197"/>
    </row>
    <row r="8" spans="2:15">
      <c r="B8" s="31" t="s">
        <v>227</v>
      </c>
      <c r="C8" s="31"/>
      <c r="D8" s="31" t="s">
        <v>223</v>
      </c>
      <c r="E8" s="199">
        <f>H8</f>
        <v>2275000</v>
      </c>
      <c r="F8" s="193">
        <f>E8/E10</f>
        <v>9.8913043478260868E-2</v>
      </c>
      <c r="G8" s="194"/>
      <c r="H8" s="192">
        <f>'Cap Table - All Securityholders'!C28</f>
        <v>2275000</v>
      </c>
      <c r="I8" s="194">
        <f>H8/H10</f>
        <v>9.1673924353578948E-2</v>
      </c>
      <c r="J8" s="195"/>
      <c r="K8" s="196"/>
      <c r="L8" s="194"/>
      <c r="N8" s="195"/>
      <c r="O8" s="197"/>
    </row>
    <row r="9" spans="2:15">
      <c r="B9" s="200" t="s">
        <v>228</v>
      </c>
      <c r="C9" s="31"/>
      <c r="D9" s="31" t="s">
        <v>229</v>
      </c>
      <c r="E9" s="201">
        <v>0</v>
      </c>
      <c r="F9" s="193">
        <f>E9/E10</f>
        <v>0</v>
      </c>
      <c r="G9" s="194"/>
      <c r="H9" s="192">
        <f>'Cap Table - All Securityholders'!D29</f>
        <v>1816217</v>
      </c>
      <c r="I9" s="194">
        <f>H9/H10</f>
        <v>7.3186698842938061E-2</v>
      </c>
      <c r="J9" s="195"/>
      <c r="K9" s="196"/>
      <c r="L9" s="198"/>
      <c r="N9" s="195"/>
      <c r="O9" s="197"/>
    </row>
    <row r="10" spans="2:15">
      <c r="B10" s="183">
        <f>SUM(B2:B9)</f>
        <v>0</v>
      </c>
      <c r="C10" s="183">
        <f>SUM(C2:C9)</f>
        <v>0</v>
      </c>
      <c r="D10" s="183"/>
      <c r="E10" s="202">
        <f>SUM(E4:E9)</f>
        <v>23000000</v>
      </c>
      <c r="F10" s="203">
        <f>SUM(F4:F9)</f>
        <v>1</v>
      </c>
      <c r="G10" s="204"/>
      <c r="H10" s="202">
        <f>SUM(H4:H9)</f>
        <v>24816217</v>
      </c>
      <c r="I10" s="204">
        <f>SUM(I4:I9)</f>
        <v>0.99999999999999989</v>
      </c>
      <c r="J10" s="195"/>
      <c r="K10" s="205"/>
      <c r="L10" s="204"/>
      <c r="N10" s="195"/>
      <c r="O10" s="197"/>
    </row>
    <row r="11" spans="2:15">
      <c r="B11" s="183"/>
      <c r="C11" s="183"/>
      <c r="D11" s="183"/>
      <c r="E11" s="205"/>
      <c r="F11" s="204"/>
      <c r="G11" s="204"/>
      <c r="H11" s="205"/>
      <c r="I11" s="204"/>
      <c r="J11" s="195"/>
      <c r="K11" s="206"/>
    </row>
    <row r="12" spans="2:15">
      <c r="B12" s="261" t="s">
        <v>230</v>
      </c>
    </row>
    <row r="13" spans="2:15">
      <c r="B13" s="261" t="s">
        <v>231</v>
      </c>
    </row>
    <row r="16" spans="2:15">
      <c r="E16">
        <f>0.18*E10</f>
        <v>4140000</v>
      </c>
      <c r="F16" s="207"/>
    </row>
    <row r="17" spans="5:6">
      <c r="E17">
        <f>E16/(1-0.18)</f>
        <v>5048780.4878048776</v>
      </c>
      <c r="F17" s="208"/>
    </row>
    <row r="18" spans="5:6">
      <c r="E18" s="207">
        <f>E17+E10</f>
        <v>28048780.487804879</v>
      </c>
      <c r="F18" s="207"/>
    </row>
    <row r="19" spans="5:6">
      <c r="E19" s="208">
        <f>E17/E18</f>
        <v>0.18</v>
      </c>
    </row>
    <row r="21" spans="5:6">
      <c r="F21" s="208"/>
    </row>
    <row r="24" spans="5:6">
      <c r="F24" s="207"/>
    </row>
    <row r="26" spans="5:6">
      <c r="F26" s="207"/>
    </row>
    <row r="29" spans="5:6">
      <c r="F29" s="208"/>
    </row>
  </sheetData>
  <mergeCells count="3">
    <mergeCell ref="E2:F2"/>
    <mergeCell ref="H2:I2"/>
    <mergeCell ref="K2:L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10"/>
  <sheetViews>
    <sheetView workbookViewId="0">
      <selection activeCell="D23" sqref="D23"/>
    </sheetView>
  </sheetViews>
  <sheetFormatPr defaultColWidth="9.109375" defaultRowHeight="13.2"/>
  <cols>
    <col min="1" max="1" width="55.109375" customWidth="1"/>
    <col min="2" max="2" width="14.33203125" customWidth="1"/>
    <col min="3" max="3" width="13.33203125" customWidth="1"/>
    <col min="4" max="4" width="15.77734375" customWidth="1"/>
    <col min="5" max="6" width="11.6640625" bestFit="1" customWidth="1"/>
    <col min="257" max="257" width="55.109375" customWidth="1"/>
    <col min="258" max="258" width="14.33203125" customWidth="1"/>
    <col min="259" max="259" width="13.33203125" customWidth="1"/>
    <col min="260" max="260" width="15.77734375" customWidth="1"/>
    <col min="261" max="262" width="11.6640625" bestFit="1" customWidth="1"/>
    <col min="513" max="513" width="55.109375" customWidth="1"/>
    <col min="514" max="514" width="14.33203125" customWidth="1"/>
    <col min="515" max="515" width="13.33203125" customWidth="1"/>
    <col min="516" max="516" width="15.77734375" customWidth="1"/>
    <col min="517" max="518" width="11.6640625" bestFit="1" customWidth="1"/>
    <col min="769" max="769" width="55.109375" customWidth="1"/>
    <col min="770" max="770" width="14.33203125" customWidth="1"/>
    <col min="771" max="771" width="13.33203125" customWidth="1"/>
    <col min="772" max="772" width="15.77734375" customWidth="1"/>
    <col min="773" max="774" width="11.6640625" bestFit="1" customWidth="1"/>
    <col min="1025" max="1025" width="55.109375" customWidth="1"/>
    <col min="1026" max="1026" width="14.33203125" customWidth="1"/>
    <col min="1027" max="1027" width="13.33203125" customWidth="1"/>
    <col min="1028" max="1028" width="15.77734375" customWidth="1"/>
    <col min="1029" max="1030" width="11.6640625" bestFit="1" customWidth="1"/>
    <col min="1281" max="1281" width="55.109375" customWidth="1"/>
    <col min="1282" max="1282" width="14.33203125" customWidth="1"/>
    <col min="1283" max="1283" width="13.33203125" customWidth="1"/>
    <col min="1284" max="1284" width="15.77734375" customWidth="1"/>
    <col min="1285" max="1286" width="11.6640625" bestFit="1" customWidth="1"/>
    <col min="1537" max="1537" width="55.109375" customWidth="1"/>
    <col min="1538" max="1538" width="14.33203125" customWidth="1"/>
    <col min="1539" max="1539" width="13.33203125" customWidth="1"/>
    <col min="1540" max="1540" width="15.77734375" customWidth="1"/>
    <col min="1541" max="1542" width="11.6640625" bestFit="1" customWidth="1"/>
    <col min="1793" max="1793" width="55.109375" customWidth="1"/>
    <col min="1794" max="1794" width="14.33203125" customWidth="1"/>
    <col min="1795" max="1795" width="13.33203125" customWidth="1"/>
    <col min="1796" max="1796" width="15.77734375" customWidth="1"/>
    <col min="1797" max="1798" width="11.6640625" bestFit="1" customWidth="1"/>
    <col min="2049" max="2049" width="55.109375" customWidth="1"/>
    <col min="2050" max="2050" width="14.33203125" customWidth="1"/>
    <col min="2051" max="2051" width="13.33203125" customWidth="1"/>
    <col min="2052" max="2052" width="15.77734375" customWidth="1"/>
    <col min="2053" max="2054" width="11.6640625" bestFit="1" customWidth="1"/>
    <col min="2305" max="2305" width="55.109375" customWidth="1"/>
    <col min="2306" max="2306" width="14.33203125" customWidth="1"/>
    <col min="2307" max="2307" width="13.33203125" customWidth="1"/>
    <col min="2308" max="2308" width="15.77734375" customWidth="1"/>
    <col min="2309" max="2310" width="11.6640625" bestFit="1" customWidth="1"/>
    <col min="2561" max="2561" width="55.109375" customWidth="1"/>
    <col min="2562" max="2562" width="14.33203125" customWidth="1"/>
    <col min="2563" max="2563" width="13.33203125" customWidth="1"/>
    <col min="2564" max="2564" width="15.77734375" customWidth="1"/>
    <col min="2565" max="2566" width="11.6640625" bestFit="1" customWidth="1"/>
    <col min="2817" max="2817" width="55.109375" customWidth="1"/>
    <col min="2818" max="2818" width="14.33203125" customWidth="1"/>
    <col min="2819" max="2819" width="13.33203125" customWidth="1"/>
    <col min="2820" max="2820" width="15.77734375" customWidth="1"/>
    <col min="2821" max="2822" width="11.6640625" bestFit="1" customWidth="1"/>
    <col min="3073" max="3073" width="55.109375" customWidth="1"/>
    <col min="3074" max="3074" width="14.33203125" customWidth="1"/>
    <col min="3075" max="3075" width="13.33203125" customWidth="1"/>
    <col min="3076" max="3076" width="15.77734375" customWidth="1"/>
    <col min="3077" max="3078" width="11.6640625" bestFit="1" customWidth="1"/>
    <col min="3329" max="3329" width="55.109375" customWidth="1"/>
    <col min="3330" max="3330" width="14.33203125" customWidth="1"/>
    <col min="3331" max="3331" width="13.33203125" customWidth="1"/>
    <col min="3332" max="3332" width="15.77734375" customWidth="1"/>
    <col min="3333" max="3334" width="11.6640625" bestFit="1" customWidth="1"/>
    <col min="3585" max="3585" width="55.109375" customWidth="1"/>
    <col min="3586" max="3586" width="14.33203125" customWidth="1"/>
    <col min="3587" max="3587" width="13.33203125" customWidth="1"/>
    <col min="3588" max="3588" width="15.77734375" customWidth="1"/>
    <col min="3589" max="3590" width="11.6640625" bestFit="1" customWidth="1"/>
    <col min="3841" max="3841" width="55.109375" customWidth="1"/>
    <col min="3842" max="3842" width="14.33203125" customWidth="1"/>
    <col min="3843" max="3843" width="13.33203125" customWidth="1"/>
    <col min="3844" max="3844" width="15.77734375" customWidth="1"/>
    <col min="3845" max="3846" width="11.6640625" bestFit="1" customWidth="1"/>
    <col min="4097" max="4097" width="55.109375" customWidth="1"/>
    <col min="4098" max="4098" width="14.33203125" customWidth="1"/>
    <col min="4099" max="4099" width="13.33203125" customWidth="1"/>
    <col min="4100" max="4100" width="15.77734375" customWidth="1"/>
    <col min="4101" max="4102" width="11.6640625" bestFit="1" customWidth="1"/>
    <col min="4353" max="4353" width="55.109375" customWidth="1"/>
    <col min="4354" max="4354" width="14.33203125" customWidth="1"/>
    <col min="4355" max="4355" width="13.33203125" customWidth="1"/>
    <col min="4356" max="4356" width="15.77734375" customWidth="1"/>
    <col min="4357" max="4358" width="11.6640625" bestFit="1" customWidth="1"/>
    <col min="4609" max="4609" width="55.109375" customWidth="1"/>
    <col min="4610" max="4610" width="14.33203125" customWidth="1"/>
    <col min="4611" max="4611" width="13.33203125" customWidth="1"/>
    <col min="4612" max="4612" width="15.77734375" customWidth="1"/>
    <col min="4613" max="4614" width="11.6640625" bestFit="1" customWidth="1"/>
    <col min="4865" max="4865" width="55.109375" customWidth="1"/>
    <col min="4866" max="4866" width="14.33203125" customWidth="1"/>
    <col min="4867" max="4867" width="13.33203125" customWidth="1"/>
    <col min="4868" max="4868" width="15.77734375" customWidth="1"/>
    <col min="4869" max="4870" width="11.6640625" bestFit="1" customWidth="1"/>
    <col min="5121" max="5121" width="55.109375" customWidth="1"/>
    <col min="5122" max="5122" width="14.33203125" customWidth="1"/>
    <col min="5123" max="5123" width="13.33203125" customWidth="1"/>
    <col min="5124" max="5124" width="15.77734375" customWidth="1"/>
    <col min="5125" max="5126" width="11.6640625" bestFit="1" customWidth="1"/>
    <col min="5377" max="5377" width="55.109375" customWidth="1"/>
    <col min="5378" max="5378" width="14.33203125" customWidth="1"/>
    <col min="5379" max="5379" width="13.33203125" customWidth="1"/>
    <col min="5380" max="5380" width="15.77734375" customWidth="1"/>
    <col min="5381" max="5382" width="11.6640625" bestFit="1" customWidth="1"/>
    <col min="5633" max="5633" width="55.109375" customWidth="1"/>
    <col min="5634" max="5634" width="14.33203125" customWidth="1"/>
    <col min="5635" max="5635" width="13.33203125" customWidth="1"/>
    <col min="5636" max="5636" width="15.77734375" customWidth="1"/>
    <col min="5637" max="5638" width="11.6640625" bestFit="1" customWidth="1"/>
    <col min="5889" max="5889" width="55.109375" customWidth="1"/>
    <col min="5890" max="5890" width="14.33203125" customWidth="1"/>
    <col min="5891" max="5891" width="13.33203125" customWidth="1"/>
    <col min="5892" max="5892" width="15.77734375" customWidth="1"/>
    <col min="5893" max="5894" width="11.6640625" bestFit="1" customWidth="1"/>
    <col min="6145" max="6145" width="55.109375" customWidth="1"/>
    <col min="6146" max="6146" width="14.33203125" customWidth="1"/>
    <col min="6147" max="6147" width="13.33203125" customWidth="1"/>
    <col min="6148" max="6148" width="15.77734375" customWidth="1"/>
    <col min="6149" max="6150" width="11.6640625" bestFit="1" customWidth="1"/>
    <col min="6401" max="6401" width="55.109375" customWidth="1"/>
    <col min="6402" max="6402" width="14.33203125" customWidth="1"/>
    <col min="6403" max="6403" width="13.33203125" customWidth="1"/>
    <col min="6404" max="6404" width="15.77734375" customWidth="1"/>
    <col min="6405" max="6406" width="11.6640625" bestFit="1" customWidth="1"/>
    <col min="6657" max="6657" width="55.109375" customWidth="1"/>
    <col min="6658" max="6658" width="14.33203125" customWidth="1"/>
    <col min="6659" max="6659" width="13.33203125" customWidth="1"/>
    <col min="6660" max="6660" width="15.77734375" customWidth="1"/>
    <col min="6661" max="6662" width="11.6640625" bestFit="1" customWidth="1"/>
    <col min="6913" max="6913" width="55.109375" customWidth="1"/>
    <col min="6914" max="6914" width="14.33203125" customWidth="1"/>
    <col min="6915" max="6915" width="13.33203125" customWidth="1"/>
    <col min="6916" max="6916" width="15.77734375" customWidth="1"/>
    <col min="6917" max="6918" width="11.6640625" bestFit="1" customWidth="1"/>
    <col min="7169" max="7169" width="55.109375" customWidth="1"/>
    <col min="7170" max="7170" width="14.33203125" customWidth="1"/>
    <col min="7171" max="7171" width="13.33203125" customWidth="1"/>
    <col min="7172" max="7172" width="15.77734375" customWidth="1"/>
    <col min="7173" max="7174" width="11.6640625" bestFit="1" customWidth="1"/>
    <col min="7425" max="7425" width="55.109375" customWidth="1"/>
    <col min="7426" max="7426" width="14.33203125" customWidth="1"/>
    <col min="7427" max="7427" width="13.33203125" customWidth="1"/>
    <col min="7428" max="7428" width="15.77734375" customWidth="1"/>
    <col min="7429" max="7430" width="11.6640625" bestFit="1" customWidth="1"/>
    <col min="7681" max="7681" width="55.109375" customWidth="1"/>
    <col min="7682" max="7682" width="14.33203125" customWidth="1"/>
    <col min="7683" max="7683" width="13.33203125" customWidth="1"/>
    <col min="7684" max="7684" width="15.77734375" customWidth="1"/>
    <col min="7685" max="7686" width="11.6640625" bestFit="1" customWidth="1"/>
    <col min="7937" max="7937" width="55.109375" customWidth="1"/>
    <col min="7938" max="7938" width="14.33203125" customWidth="1"/>
    <col min="7939" max="7939" width="13.33203125" customWidth="1"/>
    <col min="7940" max="7940" width="15.77734375" customWidth="1"/>
    <col min="7941" max="7942" width="11.6640625" bestFit="1" customWidth="1"/>
    <col min="8193" max="8193" width="55.109375" customWidth="1"/>
    <col min="8194" max="8194" width="14.33203125" customWidth="1"/>
    <col min="8195" max="8195" width="13.33203125" customWidth="1"/>
    <col min="8196" max="8196" width="15.77734375" customWidth="1"/>
    <col min="8197" max="8198" width="11.6640625" bestFit="1" customWidth="1"/>
    <col min="8449" max="8449" width="55.109375" customWidth="1"/>
    <col min="8450" max="8450" width="14.33203125" customWidth="1"/>
    <col min="8451" max="8451" width="13.33203125" customWidth="1"/>
    <col min="8452" max="8452" width="15.77734375" customWidth="1"/>
    <col min="8453" max="8454" width="11.6640625" bestFit="1" customWidth="1"/>
    <col min="8705" max="8705" width="55.109375" customWidth="1"/>
    <col min="8706" max="8706" width="14.33203125" customWidth="1"/>
    <col min="8707" max="8707" width="13.33203125" customWidth="1"/>
    <col min="8708" max="8708" width="15.77734375" customWidth="1"/>
    <col min="8709" max="8710" width="11.6640625" bestFit="1" customWidth="1"/>
    <col min="8961" max="8961" width="55.109375" customWidth="1"/>
    <col min="8962" max="8962" width="14.33203125" customWidth="1"/>
    <col min="8963" max="8963" width="13.33203125" customWidth="1"/>
    <col min="8964" max="8964" width="15.77734375" customWidth="1"/>
    <col min="8965" max="8966" width="11.6640625" bestFit="1" customWidth="1"/>
    <col min="9217" max="9217" width="55.109375" customWidth="1"/>
    <col min="9218" max="9218" width="14.33203125" customWidth="1"/>
    <col min="9219" max="9219" width="13.33203125" customWidth="1"/>
    <col min="9220" max="9220" width="15.77734375" customWidth="1"/>
    <col min="9221" max="9222" width="11.6640625" bestFit="1" customWidth="1"/>
    <col min="9473" max="9473" width="55.109375" customWidth="1"/>
    <col min="9474" max="9474" width="14.33203125" customWidth="1"/>
    <col min="9475" max="9475" width="13.33203125" customWidth="1"/>
    <col min="9476" max="9476" width="15.77734375" customWidth="1"/>
    <col min="9477" max="9478" width="11.6640625" bestFit="1" customWidth="1"/>
    <col min="9729" max="9729" width="55.109375" customWidth="1"/>
    <col min="9730" max="9730" width="14.33203125" customWidth="1"/>
    <col min="9731" max="9731" width="13.33203125" customWidth="1"/>
    <col min="9732" max="9732" width="15.77734375" customWidth="1"/>
    <col min="9733" max="9734" width="11.6640625" bestFit="1" customWidth="1"/>
    <col min="9985" max="9985" width="55.109375" customWidth="1"/>
    <col min="9986" max="9986" width="14.33203125" customWidth="1"/>
    <col min="9987" max="9987" width="13.33203125" customWidth="1"/>
    <col min="9988" max="9988" width="15.77734375" customWidth="1"/>
    <col min="9989" max="9990" width="11.6640625" bestFit="1" customWidth="1"/>
    <col min="10241" max="10241" width="55.109375" customWidth="1"/>
    <col min="10242" max="10242" width="14.33203125" customWidth="1"/>
    <col min="10243" max="10243" width="13.33203125" customWidth="1"/>
    <col min="10244" max="10244" width="15.77734375" customWidth="1"/>
    <col min="10245" max="10246" width="11.6640625" bestFit="1" customWidth="1"/>
    <col min="10497" max="10497" width="55.109375" customWidth="1"/>
    <col min="10498" max="10498" width="14.33203125" customWidth="1"/>
    <col min="10499" max="10499" width="13.33203125" customWidth="1"/>
    <col min="10500" max="10500" width="15.77734375" customWidth="1"/>
    <col min="10501" max="10502" width="11.6640625" bestFit="1" customWidth="1"/>
    <col min="10753" max="10753" width="55.109375" customWidth="1"/>
    <col min="10754" max="10754" width="14.33203125" customWidth="1"/>
    <col min="10755" max="10755" width="13.33203125" customWidth="1"/>
    <col min="10756" max="10756" width="15.77734375" customWidth="1"/>
    <col min="10757" max="10758" width="11.6640625" bestFit="1" customWidth="1"/>
    <col min="11009" max="11009" width="55.109375" customWidth="1"/>
    <col min="11010" max="11010" width="14.33203125" customWidth="1"/>
    <col min="11011" max="11011" width="13.33203125" customWidth="1"/>
    <col min="11012" max="11012" width="15.77734375" customWidth="1"/>
    <col min="11013" max="11014" width="11.6640625" bestFit="1" customWidth="1"/>
    <col min="11265" max="11265" width="55.109375" customWidth="1"/>
    <col min="11266" max="11266" width="14.33203125" customWidth="1"/>
    <col min="11267" max="11267" width="13.33203125" customWidth="1"/>
    <col min="11268" max="11268" width="15.77734375" customWidth="1"/>
    <col min="11269" max="11270" width="11.6640625" bestFit="1" customWidth="1"/>
    <col min="11521" max="11521" width="55.109375" customWidth="1"/>
    <col min="11522" max="11522" width="14.33203125" customWidth="1"/>
    <col min="11523" max="11523" width="13.33203125" customWidth="1"/>
    <col min="11524" max="11524" width="15.77734375" customWidth="1"/>
    <col min="11525" max="11526" width="11.6640625" bestFit="1" customWidth="1"/>
    <col min="11777" max="11777" width="55.109375" customWidth="1"/>
    <col min="11778" max="11778" width="14.33203125" customWidth="1"/>
    <col min="11779" max="11779" width="13.33203125" customWidth="1"/>
    <col min="11780" max="11780" width="15.77734375" customWidth="1"/>
    <col min="11781" max="11782" width="11.6640625" bestFit="1" customWidth="1"/>
    <col min="12033" max="12033" width="55.109375" customWidth="1"/>
    <col min="12034" max="12034" width="14.33203125" customWidth="1"/>
    <col min="12035" max="12035" width="13.33203125" customWidth="1"/>
    <col min="12036" max="12036" width="15.77734375" customWidth="1"/>
    <col min="12037" max="12038" width="11.6640625" bestFit="1" customWidth="1"/>
    <col min="12289" max="12289" width="55.109375" customWidth="1"/>
    <col min="12290" max="12290" width="14.33203125" customWidth="1"/>
    <col min="12291" max="12291" width="13.33203125" customWidth="1"/>
    <col min="12292" max="12292" width="15.77734375" customWidth="1"/>
    <col min="12293" max="12294" width="11.6640625" bestFit="1" customWidth="1"/>
    <col min="12545" max="12545" width="55.109375" customWidth="1"/>
    <col min="12546" max="12546" width="14.33203125" customWidth="1"/>
    <col min="12547" max="12547" width="13.33203125" customWidth="1"/>
    <col min="12548" max="12548" width="15.77734375" customWidth="1"/>
    <col min="12549" max="12550" width="11.6640625" bestFit="1" customWidth="1"/>
    <col min="12801" max="12801" width="55.109375" customWidth="1"/>
    <col min="12802" max="12802" width="14.33203125" customWidth="1"/>
    <col min="12803" max="12803" width="13.33203125" customWidth="1"/>
    <col min="12804" max="12804" width="15.77734375" customWidth="1"/>
    <col min="12805" max="12806" width="11.6640625" bestFit="1" customWidth="1"/>
    <col min="13057" max="13057" width="55.109375" customWidth="1"/>
    <col min="13058" max="13058" width="14.33203125" customWidth="1"/>
    <col min="13059" max="13059" width="13.33203125" customWidth="1"/>
    <col min="13060" max="13060" width="15.77734375" customWidth="1"/>
    <col min="13061" max="13062" width="11.6640625" bestFit="1" customWidth="1"/>
    <col min="13313" max="13313" width="55.109375" customWidth="1"/>
    <col min="13314" max="13314" width="14.33203125" customWidth="1"/>
    <col min="13315" max="13315" width="13.33203125" customWidth="1"/>
    <col min="13316" max="13316" width="15.77734375" customWidth="1"/>
    <col min="13317" max="13318" width="11.6640625" bestFit="1" customWidth="1"/>
    <col min="13569" max="13569" width="55.109375" customWidth="1"/>
    <col min="13570" max="13570" width="14.33203125" customWidth="1"/>
    <col min="13571" max="13571" width="13.33203125" customWidth="1"/>
    <col min="13572" max="13572" width="15.77734375" customWidth="1"/>
    <col min="13573" max="13574" width="11.6640625" bestFit="1" customWidth="1"/>
    <col min="13825" max="13825" width="55.109375" customWidth="1"/>
    <col min="13826" max="13826" width="14.33203125" customWidth="1"/>
    <col min="13827" max="13827" width="13.33203125" customWidth="1"/>
    <col min="13828" max="13828" width="15.77734375" customWidth="1"/>
    <col min="13829" max="13830" width="11.6640625" bestFit="1" customWidth="1"/>
    <col min="14081" max="14081" width="55.109375" customWidth="1"/>
    <col min="14082" max="14082" width="14.33203125" customWidth="1"/>
    <col min="14083" max="14083" width="13.33203125" customWidth="1"/>
    <col min="14084" max="14084" width="15.77734375" customWidth="1"/>
    <col min="14085" max="14086" width="11.6640625" bestFit="1" customWidth="1"/>
    <col min="14337" max="14337" width="55.109375" customWidth="1"/>
    <col min="14338" max="14338" width="14.33203125" customWidth="1"/>
    <col min="14339" max="14339" width="13.33203125" customWidth="1"/>
    <col min="14340" max="14340" width="15.77734375" customWidth="1"/>
    <col min="14341" max="14342" width="11.6640625" bestFit="1" customWidth="1"/>
    <col min="14593" max="14593" width="55.109375" customWidth="1"/>
    <col min="14594" max="14594" width="14.33203125" customWidth="1"/>
    <col min="14595" max="14595" width="13.33203125" customWidth="1"/>
    <col min="14596" max="14596" width="15.77734375" customWidth="1"/>
    <col min="14597" max="14598" width="11.6640625" bestFit="1" customWidth="1"/>
    <col min="14849" max="14849" width="55.109375" customWidth="1"/>
    <col min="14850" max="14850" width="14.33203125" customWidth="1"/>
    <col min="14851" max="14851" width="13.33203125" customWidth="1"/>
    <col min="14852" max="14852" width="15.77734375" customWidth="1"/>
    <col min="14853" max="14854" width="11.6640625" bestFit="1" customWidth="1"/>
    <col min="15105" max="15105" width="55.109375" customWidth="1"/>
    <col min="15106" max="15106" width="14.33203125" customWidth="1"/>
    <col min="15107" max="15107" width="13.33203125" customWidth="1"/>
    <col min="15108" max="15108" width="15.77734375" customWidth="1"/>
    <col min="15109" max="15110" width="11.6640625" bestFit="1" customWidth="1"/>
    <col min="15361" max="15361" width="55.109375" customWidth="1"/>
    <col min="15362" max="15362" width="14.33203125" customWidth="1"/>
    <col min="15363" max="15363" width="13.33203125" customWidth="1"/>
    <col min="15364" max="15364" width="15.77734375" customWidth="1"/>
    <col min="15365" max="15366" width="11.6640625" bestFit="1" customWidth="1"/>
    <col min="15617" max="15617" width="55.109375" customWidth="1"/>
    <col min="15618" max="15618" width="14.33203125" customWidth="1"/>
    <col min="15619" max="15619" width="13.33203125" customWidth="1"/>
    <col min="15620" max="15620" width="15.77734375" customWidth="1"/>
    <col min="15621" max="15622" width="11.6640625" bestFit="1" customWidth="1"/>
    <col min="15873" max="15873" width="55.109375" customWidth="1"/>
    <col min="15874" max="15874" width="14.33203125" customWidth="1"/>
    <col min="15875" max="15875" width="13.33203125" customWidth="1"/>
    <col min="15876" max="15876" width="15.77734375" customWidth="1"/>
    <col min="15877" max="15878" width="11.6640625" bestFit="1" customWidth="1"/>
    <col min="16129" max="16129" width="55.109375" customWidth="1"/>
    <col min="16130" max="16130" width="14.33203125" customWidth="1"/>
    <col min="16131" max="16131" width="13.33203125" customWidth="1"/>
    <col min="16132" max="16132" width="15.77734375" customWidth="1"/>
    <col min="16133" max="16134" width="11.6640625" bestFit="1" customWidth="1"/>
  </cols>
  <sheetData>
    <row r="1" spans="1:4">
      <c r="A1" s="247" t="s">
        <v>270</v>
      </c>
      <c r="B1" s="248" t="s">
        <v>271</v>
      </c>
      <c r="C1" s="248" t="s">
        <v>5</v>
      </c>
    </row>
    <row r="2" spans="1:4" ht="12.75" customHeight="1">
      <c r="A2" s="249" t="s">
        <v>272</v>
      </c>
      <c r="B2" s="250">
        <v>100000.31</v>
      </c>
      <c r="C2" s="197">
        <f>ROUND(B2/0.3689,0)</f>
        <v>271077</v>
      </c>
    </row>
    <row r="3" spans="1:4" ht="12.75" customHeight="1">
      <c r="A3" s="249" t="s">
        <v>273</v>
      </c>
      <c r="B3" s="250">
        <v>100000.31</v>
      </c>
      <c r="C3" s="197">
        <f t="shared" ref="C3:C9" si="0">ROUND(B3/0.3689,0)</f>
        <v>271077</v>
      </c>
    </row>
    <row r="4" spans="1:4" ht="12.75" customHeight="1">
      <c r="A4" s="249" t="s">
        <v>274</v>
      </c>
      <c r="B4" s="250">
        <v>100000.31</v>
      </c>
      <c r="C4" s="197">
        <f t="shared" si="0"/>
        <v>271077</v>
      </c>
    </row>
    <row r="5" spans="1:4" ht="12.75" customHeight="1">
      <c r="A5" s="249" t="s">
        <v>275</v>
      </c>
      <c r="B5" s="250">
        <v>100000.31</v>
      </c>
      <c r="C5" s="197">
        <f t="shared" si="0"/>
        <v>271077</v>
      </c>
    </row>
    <row r="6" spans="1:4" ht="12.75" customHeight="1">
      <c r="A6" s="249" t="s">
        <v>276</v>
      </c>
      <c r="B6" s="250">
        <v>100000.31</v>
      </c>
      <c r="C6" s="197">
        <f t="shared" si="0"/>
        <v>271077</v>
      </c>
    </row>
    <row r="7" spans="1:4" ht="12.75" customHeight="1">
      <c r="A7" s="249" t="s">
        <v>277</v>
      </c>
      <c r="B7" s="250">
        <v>70000.25</v>
      </c>
      <c r="C7" s="197">
        <f t="shared" si="0"/>
        <v>189754</v>
      </c>
    </row>
    <row r="8" spans="1:4" ht="12.75" customHeight="1">
      <c r="A8" s="249" t="s">
        <v>278</v>
      </c>
      <c r="B8" s="250">
        <v>50000.34</v>
      </c>
      <c r="C8" s="197">
        <f t="shared" si="0"/>
        <v>135539</v>
      </c>
    </row>
    <row r="9" spans="1:4" ht="12.75" customHeight="1">
      <c r="A9" s="249" t="s">
        <v>279</v>
      </c>
      <c r="B9" s="250">
        <v>50000.34</v>
      </c>
      <c r="C9" s="197">
        <f t="shared" si="0"/>
        <v>135539</v>
      </c>
    </row>
    <row r="10" spans="1:4">
      <c r="B10" s="255">
        <f>SUM(B2:B9)</f>
        <v>670002.48</v>
      </c>
      <c r="C10" s="255">
        <f>SUM(C2:C9)</f>
        <v>1816217</v>
      </c>
      <c r="D10" s="207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40"/>
  <sheetViews>
    <sheetView workbookViewId="0">
      <selection activeCell="D5" sqref="D5"/>
    </sheetView>
  </sheetViews>
  <sheetFormatPr defaultColWidth="11.44140625" defaultRowHeight="13.2"/>
  <cols>
    <col min="1" max="1" width="26.6640625" bestFit="1" customWidth="1"/>
  </cols>
  <sheetData>
    <row r="1" spans="1:2">
      <c r="B1" s="180">
        <v>40604</v>
      </c>
    </row>
    <row r="2" spans="1:2">
      <c r="A2" t="s">
        <v>141</v>
      </c>
    </row>
    <row r="3" spans="1:2">
      <c r="A3" t="s">
        <v>142</v>
      </c>
    </row>
    <row r="4" spans="1:2">
      <c r="A4" t="s">
        <v>143</v>
      </c>
    </row>
    <row r="5" spans="1:2">
      <c r="A5" t="s">
        <v>144</v>
      </c>
      <c r="B5" s="181">
        <v>570197.56000000006</v>
      </c>
    </row>
    <row r="6" spans="1:2">
      <c r="A6" t="s">
        <v>145</v>
      </c>
      <c r="B6" s="181">
        <v>570197.56000000006</v>
      </c>
    </row>
    <row r="7" spans="1:2">
      <c r="A7" t="s">
        <v>36</v>
      </c>
      <c r="B7" s="181">
        <v>570197.56000000006</v>
      </c>
    </row>
    <row r="8" spans="1:2">
      <c r="B8" s="181"/>
    </row>
    <row r="9" spans="1:2">
      <c r="A9" t="s">
        <v>146</v>
      </c>
    </row>
    <row r="10" spans="1:2">
      <c r="A10" t="s">
        <v>147</v>
      </c>
      <c r="B10" s="181">
        <v>-8768</v>
      </c>
    </row>
    <row r="11" spans="1:2">
      <c r="A11" t="s">
        <v>148</v>
      </c>
      <c r="B11" s="181">
        <v>37377.31</v>
      </c>
    </row>
    <row r="12" spans="1:2">
      <c r="A12" t="s">
        <v>149</v>
      </c>
      <c r="B12" s="181">
        <v>28609.31</v>
      </c>
    </row>
    <row r="13" spans="1:2">
      <c r="B13" s="181"/>
    </row>
    <row r="14" spans="1:2">
      <c r="A14" t="s">
        <v>39</v>
      </c>
    </row>
    <row r="15" spans="1:2">
      <c r="A15" t="s">
        <v>150</v>
      </c>
      <c r="B15" s="181">
        <v>4735.2700000000004</v>
      </c>
    </row>
    <row r="16" spans="1:2">
      <c r="A16" t="s">
        <v>151</v>
      </c>
      <c r="B16" s="181">
        <v>4735.2700000000004</v>
      </c>
    </row>
    <row r="17" spans="1:2">
      <c r="B17" s="181"/>
    </row>
    <row r="18" spans="1:2">
      <c r="A18" t="s">
        <v>152</v>
      </c>
      <c r="B18" s="181">
        <v>603542.14</v>
      </c>
    </row>
    <row r="19" spans="1:2">
      <c r="B19" s="181"/>
    </row>
    <row r="20" spans="1:2">
      <c r="A20" t="s">
        <v>153</v>
      </c>
    </row>
    <row r="21" spans="1:2">
      <c r="A21" t="s">
        <v>154</v>
      </c>
    </row>
    <row r="22" spans="1:2">
      <c r="A22" t="s">
        <v>155</v>
      </c>
    </row>
    <row r="23" spans="1:2">
      <c r="A23" t="s">
        <v>44</v>
      </c>
    </row>
    <row r="24" spans="1:2">
      <c r="A24" t="s">
        <v>156</v>
      </c>
      <c r="B24" s="181">
        <v>631547.31000000006</v>
      </c>
    </row>
    <row r="25" spans="1:2">
      <c r="A25" t="s">
        <v>157</v>
      </c>
      <c r="B25" s="181">
        <v>631547.31000000006</v>
      </c>
    </row>
    <row r="26" spans="1:2">
      <c r="B26" s="181"/>
    </row>
    <row r="27" spans="1:2">
      <c r="A27" t="s">
        <v>45</v>
      </c>
      <c r="B27" s="181">
        <v>631547.31000000006</v>
      </c>
    </row>
    <row r="28" spans="1:2">
      <c r="B28" s="181"/>
    </row>
    <row r="29" spans="1:2">
      <c r="A29" t="s">
        <v>50</v>
      </c>
      <c r="B29" s="181">
        <v>631547.31000000006</v>
      </c>
    </row>
    <row r="30" spans="1:2">
      <c r="B30" s="181"/>
    </row>
    <row r="31" spans="1:2">
      <c r="A31" t="s">
        <v>29</v>
      </c>
    </row>
    <row r="32" spans="1:2">
      <c r="A32" t="s">
        <v>158</v>
      </c>
      <c r="B32" s="181">
        <v>10300</v>
      </c>
    </row>
    <row r="33" spans="1:2">
      <c r="A33" t="s">
        <v>159</v>
      </c>
      <c r="B33" s="181">
        <v>149700</v>
      </c>
    </row>
    <row r="34" spans="1:2">
      <c r="A34" t="s">
        <v>160</v>
      </c>
      <c r="B34" s="181">
        <v>720002.48</v>
      </c>
    </row>
    <row r="35" spans="1:2">
      <c r="A35" t="s">
        <v>161</v>
      </c>
      <c r="B35" s="181">
        <v>802205.09</v>
      </c>
    </row>
    <row r="36" spans="1:2">
      <c r="A36" t="s">
        <v>12</v>
      </c>
      <c r="B36" s="181">
        <v>105802.56</v>
      </c>
    </row>
    <row r="37" spans="1:2">
      <c r="A37" s="183" t="s">
        <v>51</v>
      </c>
      <c r="B37" s="253">
        <v>-28005.17</v>
      </c>
    </row>
    <row r="38" spans="1:2">
      <c r="B38" s="181"/>
    </row>
    <row r="39" spans="1:2" ht="13.8" thickBot="1">
      <c r="A39" t="s">
        <v>162</v>
      </c>
      <c r="B39" s="256">
        <v>603542.14</v>
      </c>
    </row>
    <row r="40" spans="1:2" ht="13.8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66"/>
  <sheetViews>
    <sheetView workbookViewId="0">
      <selection activeCell="D5" sqref="D5"/>
    </sheetView>
  </sheetViews>
  <sheetFormatPr defaultColWidth="11.44140625" defaultRowHeight="13.2"/>
  <cols>
    <col min="1" max="1" width="4.6640625" customWidth="1"/>
    <col min="2" max="2" width="24.44140625" customWidth="1"/>
    <col min="3" max="3" width="11.33203125" customWidth="1"/>
    <col min="4" max="4" width="11.109375" customWidth="1"/>
  </cols>
  <sheetData>
    <row r="1" spans="1:4">
      <c r="C1" s="279" t="s">
        <v>210</v>
      </c>
      <c r="D1" s="279"/>
    </row>
    <row r="2" spans="1:4">
      <c r="A2" t="s">
        <v>163</v>
      </c>
    </row>
    <row r="3" spans="1:4">
      <c r="A3" t="s">
        <v>164</v>
      </c>
    </row>
    <row r="4" spans="1:4">
      <c r="A4" t="s">
        <v>26</v>
      </c>
      <c r="D4" s="181">
        <v>21180.9</v>
      </c>
    </row>
    <row r="5" spans="1:4">
      <c r="A5" s="183" t="s">
        <v>165</v>
      </c>
      <c r="B5" s="183"/>
      <c r="C5" s="183"/>
      <c r="D5" s="186">
        <v>21180.9</v>
      </c>
    </row>
    <row r="6" spans="1:4">
      <c r="D6" s="181"/>
    </row>
    <row r="7" spans="1:4">
      <c r="A7" t="s">
        <v>166</v>
      </c>
    </row>
    <row r="8" spans="1:4">
      <c r="A8" t="s">
        <v>166</v>
      </c>
      <c r="D8" s="181">
        <v>19183.05</v>
      </c>
    </row>
    <row r="9" spans="1:4">
      <c r="A9" s="183" t="s">
        <v>167</v>
      </c>
      <c r="B9" s="183"/>
      <c r="C9" s="183"/>
      <c r="D9" s="186">
        <v>19183.05</v>
      </c>
    </row>
    <row r="10" spans="1:4">
      <c r="D10" s="181"/>
    </row>
    <row r="11" spans="1:4">
      <c r="A11" s="183" t="s">
        <v>138</v>
      </c>
      <c r="B11" s="183"/>
      <c r="C11" s="183"/>
      <c r="D11" s="186">
        <v>1997.85</v>
      </c>
    </row>
    <row r="12" spans="1:4">
      <c r="D12" s="181"/>
    </row>
    <row r="13" spans="1:4">
      <c r="A13" t="s">
        <v>168</v>
      </c>
    </row>
    <row r="14" spans="1:4">
      <c r="A14" t="s">
        <v>169</v>
      </c>
      <c r="D14" s="181">
        <v>24932.42</v>
      </c>
    </row>
    <row r="15" spans="1:4">
      <c r="A15" t="s">
        <v>170</v>
      </c>
      <c r="D15" s="181">
        <v>-20830</v>
      </c>
    </row>
    <row r="16" spans="1:4">
      <c r="A16" t="s">
        <v>171</v>
      </c>
      <c r="D16">
        <v>179.5</v>
      </c>
    </row>
    <row r="17" spans="1:4">
      <c r="A17" t="s">
        <v>172</v>
      </c>
      <c r="D17" s="181">
        <v>1600</v>
      </c>
    </row>
    <row r="18" spans="1:4">
      <c r="A18" t="s">
        <v>173</v>
      </c>
      <c r="D18">
        <v>-50.52</v>
      </c>
    </row>
    <row r="19" spans="1:4">
      <c r="A19" t="s">
        <v>174</v>
      </c>
      <c r="D19" s="181">
        <v>9213.9500000000007</v>
      </c>
    </row>
    <row r="20" spans="1:4">
      <c r="A20" t="s">
        <v>175</v>
      </c>
      <c r="D20" s="181">
        <v>4083.92</v>
      </c>
    </row>
    <row r="21" spans="1:4">
      <c r="A21" t="s">
        <v>176</v>
      </c>
      <c r="D21" s="181">
        <v>4127.6099999999997</v>
      </c>
    </row>
    <row r="22" spans="1:4">
      <c r="A22" t="s">
        <v>177</v>
      </c>
      <c r="D22">
        <v>150</v>
      </c>
    </row>
    <row r="23" spans="1:4">
      <c r="A23" t="s">
        <v>178</v>
      </c>
    </row>
    <row r="24" spans="1:4">
      <c r="B24" t="s">
        <v>179</v>
      </c>
      <c r="C24" s="181">
        <v>45287.4</v>
      </c>
    </row>
    <row r="25" spans="1:4">
      <c r="B25" t="s">
        <v>180</v>
      </c>
      <c r="C25">
        <v>777.92</v>
      </c>
    </row>
    <row r="26" spans="1:4">
      <c r="B26" t="s">
        <v>181</v>
      </c>
      <c r="C26">
        <v>215.88</v>
      </c>
    </row>
    <row r="27" spans="1:4">
      <c r="B27" t="s">
        <v>182</v>
      </c>
      <c r="C27" s="181">
        <v>3108.66</v>
      </c>
    </row>
    <row r="28" spans="1:4">
      <c r="A28" t="s">
        <v>183</v>
      </c>
      <c r="C28" s="182"/>
      <c r="D28" s="181">
        <v>49389.86</v>
      </c>
    </row>
    <row r="29" spans="1:4">
      <c r="D29" s="181"/>
    </row>
    <row r="30" spans="1:4">
      <c r="A30" t="s">
        <v>54</v>
      </c>
      <c r="D30" s="181">
        <v>36719.370000000003</v>
      </c>
    </row>
    <row r="31" spans="1:4">
      <c r="A31" t="s">
        <v>184</v>
      </c>
      <c r="D31" s="181">
        <v>3632.52</v>
      </c>
    </row>
    <row r="32" spans="1:4">
      <c r="A32" t="s">
        <v>185</v>
      </c>
      <c r="D32" s="181">
        <v>42168.95</v>
      </c>
    </row>
    <row r="33" spans="1:4">
      <c r="A33" t="s">
        <v>186</v>
      </c>
      <c r="D33" s="181">
        <v>11917.74</v>
      </c>
    </row>
    <row r="34" spans="1:4">
      <c r="A34" t="s">
        <v>187</v>
      </c>
      <c r="D34">
        <v>385.29</v>
      </c>
    </row>
    <row r="35" spans="1:4">
      <c r="A35" t="s">
        <v>188</v>
      </c>
      <c r="D35" s="181">
        <v>39373.019999999997</v>
      </c>
    </row>
    <row r="36" spans="1:4">
      <c r="A36" t="s">
        <v>189</v>
      </c>
      <c r="D36">
        <v>759.44</v>
      </c>
    </row>
    <row r="37" spans="1:4">
      <c r="A37" t="s">
        <v>190</v>
      </c>
      <c r="D37" s="181">
        <v>1162.8399999999999</v>
      </c>
    </row>
    <row r="38" spans="1:4">
      <c r="A38" t="s">
        <v>191</v>
      </c>
    </row>
    <row r="39" spans="1:4">
      <c r="B39" t="s">
        <v>192</v>
      </c>
      <c r="C39" s="181">
        <v>20804.45</v>
      </c>
    </row>
    <row r="40" spans="1:4">
      <c r="B40" t="s">
        <v>193</v>
      </c>
      <c r="C40" s="181">
        <v>4226.25</v>
      </c>
    </row>
    <row r="41" spans="1:4">
      <c r="A41" t="s">
        <v>194</v>
      </c>
      <c r="C41" s="188"/>
      <c r="D41" s="181">
        <v>25030.7</v>
      </c>
    </row>
    <row r="42" spans="1:4">
      <c r="D42" s="181"/>
    </row>
    <row r="43" spans="1:4">
      <c r="A43" t="s">
        <v>195</v>
      </c>
      <c r="D43">
        <v>131.75</v>
      </c>
    </row>
    <row r="44" spans="1:4">
      <c r="A44" t="s">
        <v>196</v>
      </c>
      <c r="D44" s="181">
        <v>10931</v>
      </c>
    </row>
    <row r="45" spans="1:4">
      <c r="A45" t="s">
        <v>197</v>
      </c>
      <c r="D45">
        <v>0</v>
      </c>
    </row>
    <row r="46" spans="1:4">
      <c r="A46" t="s">
        <v>198</v>
      </c>
      <c r="D46" s="181">
        <v>2320</v>
      </c>
    </row>
    <row r="47" spans="1:4">
      <c r="A47" t="s">
        <v>199</v>
      </c>
      <c r="D47" s="181">
        <v>2304.7600000000002</v>
      </c>
    </row>
    <row r="48" spans="1:4">
      <c r="A48" t="s">
        <v>200</v>
      </c>
      <c r="D48" s="181">
        <v>1211.5899999999999</v>
      </c>
    </row>
    <row r="49" spans="1:4">
      <c r="A49" t="s">
        <v>201</v>
      </c>
      <c r="D49" s="181">
        <v>9661.1</v>
      </c>
    </row>
    <row r="50" spans="1:4">
      <c r="A50" t="s">
        <v>202</v>
      </c>
      <c r="D50" s="181">
        <v>1600</v>
      </c>
    </row>
    <row r="51" spans="1:4">
      <c r="A51" t="s">
        <v>203</v>
      </c>
      <c r="D51" s="181">
        <v>9342.9699999999993</v>
      </c>
    </row>
    <row r="52" spans="1:4">
      <c r="A52" t="s">
        <v>204</v>
      </c>
      <c r="D52">
        <v>40</v>
      </c>
    </row>
    <row r="53" spans="1:4">
      <c r="A53" t="s">
        <v>205</v>
      </c>
      <c r="D53" s="181">
        <v>5238.3500000000004</v>
      </c>
    </row>
    <row r="54" spans="1:4">
      <c r="A54" t="s">
        <v>206</v>
      </c>
      <c r="D54" s="181">
        <v>4690.95</v>
      </c>
    </row>
    <row r="55" spans="1:4">
      <c r="A55" t="s">
        <v>207</v>
      </c>
      <c r="D55" s="181">
        <v>84362.5</v>
      </c>
    </row>
    <row r="56" spans="1:4">
      <c r="A56" s="183" t="s">
        <v>208</v>
      </c>
      <c r="B56" s="183"/>
      <c r="C56" s="183"/>
      <c r="D56" s="184">
        <v>365781.58</v>
      </c>
    </row>
    <row r="57" spans="1:4">
      <c r="D57" s="181"/>
    </row>
    <row r="58" spans="1:4">
      <c r="A58" t="s">
        <v>209</v>
      </c>
      <c r="D58" s="181">
        <v>-363783.73</v>
      </c>
    </row>
    <row r="59" spans="1:4">
      <c r="D59" s="181"/>
    </row>
    <row r="60" spans="1:4">
      <c r="A60" t="s">
        <v>211</v>
      </c>
    </row>
    <row r="61" spans="1:4">
      <c r="A61" t="s">
        <v>212</v>
      </c>
    </row>
    <row r="62" spans="1:4">
      <c r="A62" t="s">
        <v>213</v>
      </c>
      <c r="D62">
        <v>13.49</v>
      </c>
    </row>
    <row r="63" spans="1:4">
      <c r="A63" t="s">
        <v>214</v>
      </c>
      <c r="D63" s="187">
        <v>13.49</v>
      </c>
    </row>
    <row r="64" spans="1:4">
      <c r="A64" s="183" t="s">
        <v>215</v>
      </c>
      <c r="B64" s="183"/>
      <c r="C64" s="183"/>
      <c r="D64" s="183">
        <v>-13.49</v>
      </c>
    </row>
    <row r="65" spans="1:4" ht="13.8" thickBot="1">
      <c r="A65" s="183" t="s">
        <v>12</v>
      </c>
      <c r="B65" s="183"/>
      <c r="C65" s="183"/>
      <c r="D65" s="185">
        <v>-363797.22</v>
      </c>
    </row>
    <row r="66" spans="1:4" ht="13.8" thickTop="1"/>
  </sheetData>
  <mergeCells count="1">
    <mergeCell ref="C1:D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00"/>
  </sheetPr>
  <dimension ref="B3:D9"/>
  <sheetViews>
    <sheetView tabSelected="1" workbookViewId="0"/>
  </sheetViews>
  <sheetFormatPr defaultColWidth="10.77734375" defaultRowHeight="13.2"/>
  <cols>
    <col min="1" max="1" width="10.77734375" style="266"/>
    <col min="2" max="2" width="20.33203125" style="266" customWidth="1"/>
    <col min="3" max="3" width="10" style="266" customWidth="1"/>
    <col min="4" max="4" width="25" style="266" bestFit="1" customWidth="1"/>
    <col min="5" max="16384" width="10.77734375" style="266"/>
  </cols>
  <sheetData>
    <row r="3" spans="2:4">
      <c r="B3" s="270" t="s">
        <v>30</v>
      </c>
      <c r="C3" s="37"/>
      <c r="D3" s="271"/>
    </row>
    <row r="5" spans="2:4">
      <c r="B5" s="266" t="s">
        <v>283</v>
      </c>
      <c r="D5" s="267" t="s">
        <v>282</v>
      </c>
    </row>
    <row r="6" spans="2:4">
      <c r="B6" s="266" t="s">
        <v>286</v>
      </c>
      <c r="D6" s="267">
        <v>2016</v>
      </c>
    </row>
    <row r="7" spans="2:4">
      <c r="B7" s="266" t="s">
        <v>287</v>
      </c>
      <c r="D7" s="269">
        <v>42460</v>
      </c>
    </row>
    <row r="8" spans="2:4">
      <c r="B8" s="266" t="s">
        <v>284</v>
      </c>
      <c r="D8" s="267" t="s">
        <v>1</v>
      </c>
    </row>
    <row r="9" spans="2:4">
      <c r="B9" s="266" t="s">
        <v>285</v>
      </c>
      <c r="D9" s="269">
        <v>42735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00"/>
    <pageSetUpPr autoPageBreaks="0"/>
  </sheetPr>
  <dimension ref="A2:W58"/>
  <sheetViews>
    <sheetView showGridLines="0" view="pageBreakPreview" topLeftCell="B1" zoomScaleSheetLayoutView="100" workbookViewId="0">
      <selection activeCell="P19" sqref="P19"/>
    </sheetView>
  </sheetViews>
  <sheetFormatPr defaultColWidth="9.109375" defaultRowHeight="13.8" outlineLevelRow="2" outlineLevelCol="1"/>
  <cols>
    <col min="1" max="1" width="5.6640625" style="4" customWidth="1"/>
    <col min="2" max="4" width="2.6640625" style="3" customWidth="1"/>
    <col min="5" max="9" width="11.6640625" style="3" customWidth="1"/>
    <col min="10" max="10" width="11.6640625" style="3" hidden="1" customWidth="1" outlineLevel="1"/>
    <col min="11" max="11" width="11.6640625" style="3" customWidth="1" collapsed="1"/>
    <col min="12" max="16" width="11.6640625" style="3" customWidth="1"/>
    <col min="17" max="17" width="5.6640625" style="3" customWidth="1"/>
    <col min="18" max="18" width="20" style="3" bestFit="1" customWidth="1"/>
    <col min="19" max="19" width="9.109375" style="3"/>
    <col min="20" max="20" width="12.77734375" style="3" bestFit="1" customWidth="1"/>
    <col min="21" max="16384" width="9.109375" style="3"/>
  </cols>
  <sheetData>
    <row r="2" spans="1:20" ht="28.5" customHeight="1">
      <c r="A2" s="3"/>
      <c r="B2" s="268" t="s">
        <v>31</v>
      </c>
    </row>
    <row r="4" spans="1:20" ht="21" customHeight="1">
      <c r="B4" s="6" t="s">
        <v>7</v>
      </c>
    </row>
    <row r="5" spans="1:20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>
      <c r="A6" s="1"/>
      <c r="B6" s="48" t="str">
        <f>Inputs!D8</f>
        <v>In thousands of dollars (000)</v>
      </c>
      <c r="C6" s="49"/>
      <c r="D6" s="49"/>
      <c r="E6" s="49"/>
      <c r="F6" s="49"/>
      <c r="G6" s="99"/>
      <c r="H6" s="99"/>
      <c r="I6" s="99"/>
      <c r="J6" s="99"/>
      <c r="K6" s="263" t="s">
        <v>27</v>
      </c>
      <c r="L6" s="51" t="str">
        <f>"Projections ending "&amp;TEXT(Inputs!D9,"mmm dd")&amp;","</f>
        <v>Projections ending Dec 31,</v>
      </c>
      <c r="M6" s="50"/>
      <c r="N6" s="50"/>
      <c r="O6" s="50"/>
      <c r="P6" s="50"/>
      <c r="R6" s="251" t="s">
        <v>28</v>
      </c>
    </row>
    <row r="7" spans="1:20">
      <c r="A7" s="1"/>
      <c r="B7" s="48"/>
      <c r="C7" s="49"/>
      <c r="D7" s="49"/>
      <c r="E7" s="49"/>
      <c r="F7" s="49"/>
      <c r="G7" s="88"/>
      <c r="H7" s="88"/>
      <c r="I7" s="88"/>
      <c r="J7" s="88">
        <v>2010</v>
      </c>
      <c r="K7" s="262">
        <f>BalanceSheet!K7</f>
        <v>40604</v>
      </c>
      <c r="L7" s="52">
        <f>J7+1</f>
        <v>2011</v>
      </c>
      <c r="M7" s="52">
        <f>L7+1</f>
        <v>2012</v>
      </c>
      <c r="N7" s="52">
        <f>M7+1</f>
        <v>2013</v>
      </c>
      <c r="O7" s="52">
        <f>N7+1</f>
        <v>2014</v>
      </c>
      <c r="P7" s="52">
        <f>O7+1</f>
        <v>2015</v>
      </c>
      <c r="R7" s="259">
        <f>K7</f>
        <v>40604</v>
      </c>
    </row>
    <row r="8" spans="1:20">
      <c r="B8" s="30"/>
      <c r="C8" s="30"/>
      <c r="D8" s="30"/>
      <c r="E8" s="30"/>
      <c r="F8" s="30"/>
      <c r="G8" s="34"/>
      <c r="H8" s="34"/>
      <c r="I8" s="34"/>
      <c r="J8" s="34"/>
      <c r="K8" s="35"/>
      <c r="L8" s="34"/>
      <c r="M8" s="34"/>
      <c r="N8" s="34"/>
      <c r="O8" s="34"/>
      <c r="P8" s="34"/>
      <c r="R8" s="2"/>
      <c r="S8" s="2"/>
      <c r="T8" s="2"/>
    </row>
    <row r="9" spans="1:20">
      <c r="A9" s="4" t="s">
        <v>3</v>
      </c>
      <c r="B9" s="30" t="s">
        <v>8</v>
      </c>
      <c r="C9" s="30"/>
      <c r="D9" s="30"/>
      <c r="E9" s="30"/>
      <c r="F9" s="30"/>
      <c r="G9" s="53"/>
      <c r="H9" s="53"/>
      <c r="I9" s="53"/>
      <c r="J9" s="53"/>
      <c r="K9" s="139">
        <f>Buildup_IS!D5/1000</f>
        <v>21.180900000000001</v>
      </c>
      <c r="L9" s="53">
        <v>230</v>
      </c>
      <c r="M9" s="53">
        <f>L9*(1+M35)</f>
        <v>1380</v>
      </c>
      <c r="N9" s="53">
        <f>M9*(1+N35)</f>
        <v>4140</v>
      </c>
      <c r="O9" s="53">
        <f>N9*(1+O35)</f>
        <v>10350</v>
      </c>
      <c r="P9" s="53">
        <f>O9*(1+P35)</f>
        <v>19665</v>
      </c>
      <c r="R9" s="13">
        <f>L9/12*9+M9/12*3</f>
        <v>517.5</v>
      </c>
      <c r="S9" s="2"/>
      <c r="T9" s="2"/>
    </row>
    <row r="10" spans="1:20">
      <c r="B10" s="30" t="s">
        <v>9</v>
      </c>
      <c r="C10" s="30"/>
      <c r="D10" s="30"/>
      <c r="E10" s="30"/>
      <c r="F10" s="30"/>
      <c r="G10" s="53"/>
      <c r="H10" s="53"/>
      <c r="I10" s="53"/>
      <c r="J10" s="53"/>
      <c r="K10" s="139">
        <f>Buildup_IS!D9/1000</f>
        <v>19.183049999999998</v>
      </c>
      <c r="L10" s="55">
        <f>L$9*L36</f>
        <v>195.5</v>
      </c>
      <c r="M10" s="55">
        <f>M$9*M36</f>
        <v>1104</v>
      </c>
      <c r="N10" s="55">
        <f>N$9*N36</f>
        <v>3105</v>
      </c>
      <c r="O10" s="55">
        <f>O$9*O36</f>
        <v>7762.5</v>
      </c>
      <c r="P10" s="55">
        <f>P$9*P36</f>
        <v>14748.75</v>
      </c>
      <c r="R10" s="13">
        <f>L10/12*9+M10/12*3</f>
        <v>422.625</v>
      </c>
      <c r="S10" s="2"/>
      <c r="T10" s="2"/>
    </row>
    <row r="11" spans="1:20">
      <c r="B11" s="30"/>
      <c r="C11" s="30" t="s">
        <v>138</v>
      </c>
      <c r="D11" s="30"/>
      <c r="E11" s="30"/>
      <c r="F11" s="30"/>
      <c r="G11" s="55"/>
      <c r="H11" s="55"/>
      <c r="I11" s="55"/>
      <c r="J11" s="55"/>
      <c r="K11" s="57">
        <f t="shared" ref="K11" si="0">K9-K10</f>
        <v>1.9978500000000032</v>
      </c>
      <c r="L11" s="58">
        <f t="shared" ref="L11:R11" si="1">L9-L10</f>
        <v>34.5</v>
      </c>
      <c r="M11" s="56">
        <f t="shared" si="1"/>
        <v>276</v>
      </c>
      <c r="N11" s="56">
        <f t="shared" si="1"/>
        <v>1035</v>
      </c>
      <c r="O11" s="56">
        <f t="shared" si="1"/>
        <v>2587.5</v>
      </c>
      <c r="P11" s="56">
        <f t="shared" si="1"/>
        <v>4916.25</v>
      </c>
      <c r="R11" s="56">
        <f t="shared" si="1"/>
        <v>94.875</v>
      </c>
      <c r="S11" s="2"/>
      <c r="T11" s="2"/>
    </row>
    <row r="12" spans="1:20">
      <c r="B12" s="30"/>
      <c r="C12" s="30"/>
      <c r="D12" s="30"/>
      <c r="E12" s="30"/>
      <c r="F12" s="30"/>
      <c r="G12" s="34"/>
      <c r="H12" s="34"/>
      <c r="I12" s="34"/>
      <c r="J12" s="34"/>
      <c r="K12" s="35"/>
      <c r="L12" s="34"/>
      <c r="M12" s="34"/>
      <c r="N12" s="34"/>
      <c r="O12" s="34"/>
      <c r="P12" s="34"/>
      <c r="R12" s="2"/>
      <c r="S12" s="2"/>
      <c r="T12" s="2"/>
    </row>
    <row r="13" spans="1:20">
      <c r="B13" s="30" t="s">
        <v>10</v>
      </c>
      <c r="C13" s="30"/>
      <c r="D13" s="30"/>
      <c r="E13" s="30"/>
      <c r="F13" s="30"/>
      <c r="G13" s="59"/>
      <c r="H13" s="59"/>
      <c r="I13" s="59"/>
      <c r="J13" s="59"/>
      <c r="K13" s="254">
        <f>Buildup_IS!D56/1000-K19-K23</f>
        <v>327.46220999999997</v>
      </c>
      <c r="L13" s="55">
        <f>(L$9*L39)</f>
        <v>690</v>
      </c>
      <c r="M13" s="55">
        <f>(M$9*M39)</f>
        <v>1173</v>
      </c>
      <c r="N13" s="55">
        <f>(N$9*N39)</f>
        <v>1656</v>
      </c>
      <c r="O13" s="55">
        <f>(O$9*O39)</f>
        <v>2070</v>
      </c>
      <c r="P13" s="55">
        <f>(P$9*P39)</f>
        <v>2949.75</v>
      </c>
      <c r="R13" s="13">
        <f>L13/12*9+M13/12*3</f>
        <v>810.75</v>
      </c>
      <c r="S13" s="2"/>
      <c r="T13" s="2"/>
    </row>
    <row r="14" spans="1:20">
      <c r="A14" s="4" t="s">
        <v>4</v>
      </c>
      <c r="B14" s="30"/>
      <c r="C14" s="33" t="s">
        <v>4</v>
      </c>
      <c r="D14" s="30"/>
      <c r="E14" s="30"/>
      <c r="F14" s="30"/>
      <c r="G14" s="46"/>
      <c r="H14" s="46"/>
      <c r="I14" s="46"/>
      <c r="J14" s="46"/>
      <c r="K14" s="61">
        <f t="shared" ref="K14" si="2">K11-K13</f>
        <v>-325.46435999999994</v>
      </c>
      <c r="L14" s="62">
        <f t="shared" ref="L14:P14" si="3">L11-L13</f>
        <v>-655.5</v>
      </c>
      <c r="M14" s="60">
        <f t="shared" si="3"/>
        <v>-897</v>
      </c>
      <c r="N14" s="60">
        <f t="shared" si="3"/>
        <v>-621</v>
      </c>
      <c r="O14" s="60">
        <f t="shared" si="3"/>
        <v>517.5</v>
      </c>
      <c r="P14" s="60">
        <f t="shared" si="3"/>
        <v>1966.5</v>
      </c>
      <c r="R14" s="60">
        <f>R11-R13</f>
        <v>-715.875</v>
      </c>
      <c r="S14" s="2"/>
      <c r="T14" s="2"/>
    </row>
    <row r="15" spans="1:20">
      <c r="B15" s="30"/>
      <c r="C15" s="30"/>
      <c r="D15" s="30"/>
      <c r="E15" s="30"/>
      <c r="F15" s="30"/>
      <c r="G15" s="34"/>
      <c r="H15" s="34"/>
      <c r="I15" s="34"/>
      <c r="J15" s="34"/>
      <c r="K15" s="35"/>
      <c r="L15" s="34"/>
      <c r="M15" s="34"/>
      <c r="N15" s="34"/>
      <c r="O15" s="34"/>
      <c r="P15" s="34"/>
      <c r="R15" s="9"/>
      <c r="S15" s="2"/>
      <c r="T15" s="2"/>
    </row>
    <row r="16" spans="1:20">
      <c r="B16" s="30" t="s">
        <v>24</v>
      </c>
      <c r="C16" s="30"/>
      <c r="D16" s="30"/>
      <c r="E16" s="30"/>
      <c r="F16" s="30"/>
      <c r="G16" s="55"/>
      <c r="H16" s="55"/>
      <c r="I16" s="55"/>
      <c r="J16" s="55"/>
      <c r="K16" s="63"/>
      <c r="L16" s="55">
        <f>'D&amp;A'!L30+'D&amp;A'!L58</f>
        <v>15.454655000000002</v>
      </c>
      <c r="M16" s="55">
        <f>'D&amp;A'!M30+'D&amp;A'!M58</f>
        <v>17.356436666666667</v>
      </c>
      <c r="N16" s="55">
        <f>'D&amp;A'!N30+'D&amp;A'!N58</f>
        <v>33.012218333333337</v>
      </c>
      <c r="O16" s="55">
        <f>'D&amp;A'!O30+'D&amp;A'!O58</f>
        <v>76.682000000000016</v>
      </c>
      <c r="P16" s="55">
        <f>'D&amp;A'!P30+'D&amp;A'!P58</f>
        <v>167.55914000000001</v>
      </c>
      <c r="R16" s="2"/>
      <c r="S16" s="2"/>
      <c r="T16" s="2"/>
    </row>
    <row r="17" spans="1:23">
      <c r="B17" s="30"/>
      <c r="C17" s="30" t="s">
        <v>11</v>
      </c>
      <c r="D17" s="30"/>
      <c r="E17" s="30"/>
      <c r="F17" s="30"/>
      <c r="G17" s="55"/>
      <c r="H17" s="55"/>
      <c r="I17" s="55"/>
      <c r="J17" s="55"/>
      <c r="K17" s="57">
        <f t="shared" ref="K17" si="4">K14-SUM(K16:K16)</f>
        <v>-325.46435999999994</v>
      </c>
      <c r="L17" s="58">
        <f t="shared" ref="L17:P17" si="5">L14-SUM(L16:L16)</f>
        <v>-670.954655</v>
      </c>
      <c r="M17" s="56">
        <f t="shared" si="5"/>
        <v>-914.3564366666667</v>
      </c>
      <c r="N17" s="56">
        <f t="shared" si="5"/>
        <v>-654.01221833333329</v>
      </c>
      <c r="O17" s="56">
        <f t="shared" si="5"/>
        <v>440.81799999999998</v>
      </c>
      <c r="P17" s="56">
        <f t="shared" si="5"/>
        <v>1798.9408599999999</v>
      </c>
      <c r="R17" s="2"/>
      <c r="S17" s="2"/>
      <c r="T17" s="2"/>
    </row>
    <row r="18" spans="1:23">
      <c r="B18" s="30"/>
      <c r="C18" s="30"/>
      <c r="D18" s="30"/>
      <c r="E18" s="30"/>
      <c r="F18" s="30"/>
      <c r="G18" s="55"/>
      <c r="H18" s="55"/>
      <c r="I18" s="55"/>
      <c r="J18" s="55"/>
      <c r="K18" s="63"/>
      <c r="L18" s="55"/>
      <c r="M18" s="34"/>
      <c r="N18" s="34"/>
      <c r="O18" s="34"/>
      <c r="P18" s="34"/>
      <c r="R18" s="2"/>
      <c r="S18" s="2"/>
      <c r="T18" s="2"/>
    </row>
    <row r="19" spans="1:23">
      <c r="B19" s="30" t="s">
        <v>130</v>
      </c>
      <c r="C19" s="30"/>
      <c r="D19" s="30"/>
      <c r="E19" s="30"/>
      <c r="F19" s="30"/>
      <c r="G19" s="55"/>
      <c r="H19" s="55"/>
      <c r="I19" s="55"/>
      <c r="J19" s="55"/>
      <c r="K19" s="141">
        <f>Buildup_IS!D30/1000</f>
        <v>36.719370000000005</v>
      </c>
      <c r="L19" s="64">
        <f ca="1">IF($B$52=0,0,'D-E'!L47+'D-E'!L45)</f>
        <v>32.727624149671172</v>
      </c>
      <c r="M19" s="64">
        <f ca="1">IF($B$52=0,0,'D-E'!M47+'D-E'!M45)</f>
        <v>4.4295411511833542</v>
      </c>
      <c r="N19" s="64">
        <f ca="1">IF($B$52=0,0,'D-E'!N47+'D-E'!N45)</f>
        <v>4.6134315649121733</v>
      </c>
      <c r="O19" s="64">
        <f ca="1">IF($B$52=0,0,'D-E'!O47+'D-E'!O45)</f>
        <v>5.3875755015757889</v>
      </c>
      <c r="P19" s="64">
        <f ca="1">IF($B$52=0,0,'D-E'!P47+'D-E'!P45)</f>
        <v>-6.3855610916208159</v>
      </c>
      <c r="R19" s="2"/>
      <c r="S19" s="11"/>
      <c r="T19" s="11"/>
      <c r="U19" s="11"/>
      <c r="V19" s="11"/>
      <c r="W19" s="12"/>
    </row>
    <row r="20" spans="1:23">
      <c r="B20" s="30" t="s">
        <v>131</v>
      </c>
      <c r="C20" s="30"/>
      <c r="D20" s="30"/>
      <c r="E20" s="30"/>
      <c r="F20" s="30"/>
      <c r="G20" s="55"/>
      <c r="H20" s="55"/>
      <c r="I20" s="55"/>
      <c r="J20" s="55"/>
      <c r="K20" s="141">
        <f>Buildup_IS!D63/1000</f>
        <v>1.349E-2</v>
      </c>
      <c r="L20" s="55">
        <f>L9*L46</f>
        <v>0.14648574895306618</v>
      </c>
      <c r="M20" s="55">
        <f>M9*M46</f>
        <v>0.87891449371839714</v>
      </c>
      <c r="N20" s="55">
        <f>N9*N46</f>
        <v>2.6367434811551913</v>
      </c>
      <c r="O20" s="55">
        <f>O9*O46</f>
        <v>6.5918587028879783</v>
      </c>
      <c r="P20" s="55">
        <f>P9*P46</f>
        <v>12.52453153548716</v>
      </c>
      <c r="R20" s="11"/>
      <c r="S20" s="11"/>
      <c r="T20" s="11"/>
      <c r="U20" s="11"/>
      <c r="V20" s="11"/>
      <c r="W20" s="12"/>
    </row>
    <row r="21" spans="1:23">
      <c r="A21" s="4" t="s">
        <v>0</v>
      </c>
      <c r="B21" s="30"/>
      <c r="C21" s="30" t="s">
        <v>132</v>
      </c>
      <c r="D21" s="30"/>
      <c r="E21" s="30"/>
      <c r="F21" s="30"/>
      <c r="G21" s="55"/>
      <c r="H21" s="55"/>
      <c r="I21" s="55"/>
      <c r="J21" s="55"/>
      <c r="K21" s="57">
        <f t="shared" ref="K21" si="6">K17-SUM(K19:K20)</f>
        <v>-362.19721999999996</v>
      </c>
      <c r="L21" s="58">
        <f t="shared" ref="L21:P21" ca="1" si="7">L17-SUM(L19:L20)</f>
        <v>-703.82876489862429</v>
      </c>
      <c r="M21" s="56">
        <f t="shared" ca="1" si="7"/>
        <v>-919.66489231156845</v>
      </c>
      <c r="N21" s="56">
        <f t="shared" ca="1" si="7"/>
        <v>-661.26239337940069</v>
      </c>
      <c r="O21" s="56">
        <f t="shared" ca="1" si="7"/>
        <v>428.83856579553623</v>
      </c>
      <c r="P21" s="56">
        <f t="shared" ca="1" si="7"/>
        <v>1792.8018895561336</v>
      </c>
      <c r="R21" s="2"/>
      <c r="S21" s="2"/>
      <c r="T21" s="2"/>
    </row>
    <row r="22" spans="1:23">
      <c r="B22" s="30"/>
      <c r="C22" s="30"/>
      <c r="D22" s="30"/>
      <c r="E22" s="30"/>
      <c r="F22" s="30"/>
      <c r="G22" s="34"/>
      <c r="H22" s="34"/>
      <c r="I22" s="34"/>
      <c r="J22" s="34"/>
      <c r="K22" s="35"/>
      <c r="L22" s="34"/>
      <c r="M22" s="34"/>
      <c r="N22" s="34"/>
      <c r="O22" s="34"/>
      <c r="P22" s="34"/>
      <c r="R22" s="2"/>
      <c r="S22" s="2"/>
      <c r="T22" s="2"/>
    </row>
    <row r="23" spans="1:23">
      <c r="B23" s="30" t="s">
        <v>133</v>
      </c>
      <c r="C23" s="30"/>
      <c r="D23" s="30"/>
      <c r="E23" s="30"/>
      <c r="F23" s="30"/>
      <c r="G23" s="55"/>
      <c r="H23" s="55"/>
      <c r="I23" s="55"/>
      <c r="J23" s="55"/>
      <c r="K23" s="141">
        <f>Buildup_IS!D50/1000</f>
        <v>1.6</v>
      </c>
      <c r="L23" s="65">
        <f ca="1">L30*L48</f>
        <v>0</v>
      </c>
      <c r="M23" s="65">
        <f ca="1">M30*M48</f>
        <v>0</v>
      </c>
      <c r="N23" s="65">
        <f ca="1">N30*N48</f>
        <v>0</v>
      </c>
      <c r="O23" s="65">
        <f ca="1">O30*O48</f>
        <v>0</v>
      </c>
      <c r="P23" s="65">
        <f ca="1">P30*P48</f>
        <v>0</v>
      </c>
      <c r="R23" s="2"/>
      <c r="S23" s="2"/>
      <c r="T23" s="2"/>
    </row>
    <row r="24" spans="1:23">
      <c r="B24" s="30"/>
      <c r="C24" s="33" t="s">
        <v>12</v>
      </c>
      <c r="D24" s="30"/>
      <c r="E24" s="30"/>
      <c r="F24" s="30"/>
      <c r="G24" s="46"/>
      <c r="H24" s="46"/>
      <c r="I24" s="46"/>
      <c r="J24" s="46"/>
      <c r="K24" s="61">
        <f t="shared" ref="K24" si="8">K21-K23</f>
        <v>-363.79721999999998</v>
      </c>
      <c r="L24" s="62">
        <f t="shared" ref="L24:P24" ca="1" si="9">L21-L23</f>
        <v>-703.82876489862429</v>
      </c>
      <c r="M24" s="60">
        <f t="shared" ca="1" si="9"/>
        <v>-919.66489231156845</v>
      </c>
      <c r="N24" s="60">
        <f t="shared" ca="1" si="9"/>
        <v>-661.26239337940069</v>
      </c>
      <c r="O24" s="60">
        <f t="shared" ca="1" si="9"/>
        <v>428.83856579553623</v>
      </c>
      <c r="P24" s="60">
        <f t="shared" ca="1" si="9"/>
        <v>1792.8018895561336</v>
      </c>
      <c r="R24" s="2"/>
      <c r="S24" s="2"/>
      <c r="T24" s="2"/>
    </row>
    <row r="25" spans="1:23" hidden="1" outlineLevel="2">
      <c r="B25" s="34"/>
      <c r="C25" s="45"/>
      <c r="D25" s="34"/>
      <c r="E25" s="34"/>
      <c r="F25" s="34"/>
      <c r="G25" s="34"/>
      <c r="H25" s="34"/>
      <c r="I25" s="34"/>
      <c r="J25" s="66"/>
      <c r="K25" s="66"/>
      <c r="L25" s="67"/>
      <c r="M25" s="67"/>
      <c r="N25" s="67"/>
      <c r="O25" s="67"/>
      <c r="P25" s="67"/>
      <c r="R25" s="2"/>
      <c r="S25" s="2"/>
      <c r="T25" s="2"/>
    </row>
    <row r="26" spans="1:23" hidden="1" outlineLevel="2">
      <c r="B26" s="68" t="s">
        <v>13</v>
      </c>
      <c r="C26" s="69"/>
      <c r="D26" s="42"/>
      <c r="E26" s="42"/>
      <c r="F26" s="42"/>
      <c r="G26" s="42"/>
      <c r="H26" s="42"/>
      <c r="I26" s="42"/>
      <c r="J26" s="70"/>
      <c r="K26" s="70"/>
      <c r="L26" s="71"/>
      <c r="M26" s="71"/>
      <c r="N26" s="71"/>
      <c r="O26" s="71"/>
      <c r="P26" s="71"/>
      <c r="R26" s="2"/>
      <c r="S26" s="2"/>
      <c r="T26" s="2"/>
    </row>
    <row r="27" spans="1:23" hidden="1" outlineLevel="2">
      <c r="B27" s="34" t="s">
        <v>14</v>
      </c>
      <c r="C27" s="45"/>
      <c r="D27" s="34"/>
      <c r="E27" s="34"/>
      <c r="F27" s="34"/>
      <c r="G27" s="53"/>
      <c r="H27" s="53"/>
      <c r="I27" s="53"/>
      <c r="J27" s="54">
        <v>0</v>
      </c>
      <c r="K27" s="54">
        <v>1</v>
      </c>
      <c r="L27" s="72">
        <f>J31</f>
        <v>0</v>
      </c>
      <c r="M27" s="72">
        <f t="shared" ref="M27:P27" ca="1" si="10">L31</f>
        <v>-703.82876489862429</v>
      </c>
      <c r="N27" s="72">
        <f t="shared" ca="1" si="10"/>
        <v>-1623.4936572101929</v>
      </c>
      <c r="O27" s="72">
        <f t="shared" ca="1" si="10"/>
        <v>-2284.7560505895935</v>
      </c>
      <c r="P27" s="72">
        <f t="shared" ca="1" si="10"/>
        <v>-1855.9174847940574</v>
      </c>
      <c r="R27" s="2"/>
      <c r="S27" s="2"/>
      <c r="T27" s="8"/>
    </row>
    <row r="28" spans="1:23" hidden="1" outlineLevel="2">
      <c r="B28" s="34"/>
      <c r="C28" s="34" t="s">
        <v>15</v>
      </c>
      <c r="D28" s="34"/>
      <c r="E28" s="34"/>
      <c r="F28" s="34"/>
      <c r="G28" s="73"/>
      <c r="H28" s="73"/>
      <c r="I28" s="73"/>
      <c r="J28" s="63">
        <f t="shared" ref="J28:P28" si="11">J21</f>
        <v>0</v>
      </c>
      <c r="K28" s="63">
        <f t="shared" ref="K28" si="12">K21</f>
        <v>-362.19721999999996</v>
      </c>
      <c r="L28" s="55">
        <f t="shared" ca="1" si="11"/>
        <v>-703.82876489862429</v>
      </c>
      <c r="M28" s="55">
        <f t="shared" ca="1" si="11"/>
        <v>-919.66489231156845</v>
      </c>
      <c r="N28" s="55">
        <f t="shared" ca="1" si="11"/>
        <v>-661.26239337940069</v>
      </c>
      <c r="O28" s="55">
        <f t="shared" ca="1" si="11"/>
        <v>428.83856579553623</v>
      </c>
      <c r="P28" s="55">
        <f t="shared" ca="1" si="11"/>
        <v>1792.8018895561336</v>
      </c>
      <c r="R28" s="2"/>
      <c r="S28" s="2"/>
      <c r="T28" s="8"/>
    </row>
    <row r="29" spans="1:23" hidden="1" outlineLevel="2">
      <c r="B29" s="34" t="s">
        <v>16</v>
      </c>
      <c r="C29" s="45"/>
      <c r="D29" s="34"/>
      <c r="E29" s="34"/>
      <c r="F29" s="34"/>
      <c r="G29" s="74"/>
      <c r="H29" s="74"/>
      <c r="I29" s="74"/>
      <c r="J29" s="75">
        <f t="shared" ref="J29:P29" si="13">SUM(J27:J28)</f>
        <v>0</v>
      </c>
      <c r="K29" s="75">
        <f t="shared" ref="K29" si="14">SUM(K27:K28)</f>
        <v>-361.19721999999996</v>
      </c>
      <c r="L29" s="74">
        <f t="shared" ca="1" si="13"/>
        <v>-703.82876489862429</v>
      </c>
      <c r="M29" s="74">
        <f t="shared" ca="1" si="13"/>
        <v>-1623.4936572101929</v>
      </c>
      <c r="N29" s="74">
        <f t="shared" ca="1" si="13"/>
        <v>-2284.7560505895935</v>
      </c>
      <c r="O29" s="74">
        <f t="shared" ca="1" si="13"/>
        <v>-1855.9174847940574</v>
      </c>
      <c r="P29" s="74">
        <f t="shared" ca="1" si="13"/>
        <v>-63.115595237923799</v>
      </c>
      <c r="R29" s="2"/>
      <c r="S29" s="2"/>
      <c r="T29" s="8"/>
    </row>
    <row r="30" spans="1:23" hidden="1" outlineLevel="2">
      <c r="B30" s="34"/>
      <c r="C30" s="34" t="s">
        <v>17</v>
      </c>
      <c r="D30" s="34"/>
      <c r="E30" s="34"/>
      <c r="F30" s="34"/>
      <c r="G30" s="64"/>
      <c r="H30" s="64"/>
      <c r="I30" s="64"/>
      <c r="J30" s="76">
        <f t="shared" ref="J30:P30" si="15">IF(J29&gt;0,J29,0)</f>
        <v>0</v>
      </c>
      <c r="K30" s="76">
        <f t="shared" ref="K30" si="16">IF(K29&gt;0,K29,0)</f>
        <v>0</v>
      </c>
      <c r="L30" s="64">
        <f ca="1">IF(L29&gt;0,L29,0)</f>
        <v>0</v>
      </c>
      <c r="M30" s="64">
        <f t="shared" ca="1" si="15"/>
        <v>0</v>
      </c>
      <c r="N30" s="64">
        <f t="shared" ca="1" si="15"/>
        <v>0</v>
      </c>
      <c r="O30" s="64">
        <f t="shared" ca="1" si="15"/>
        <v>0</v>
      </c>
      <c r="P30" s="64">
        <f t="shared" ca="1" si="15"/>
        <v>0</v>
      </c>
      <c r="R30" s="2"/>
      <c r="S30" s="2"/>
      <c r="T30" s="8"/>
    </row>
    <row r="31" spans="1:23" hidden="1" outlineLevel="2">
      <c r="B31" s="34" t="s">
        <v>18</v>
      </c>
      <c r="C31" s="45"/>
      <c r="D31" s="34"/>
      <c r="E31" s="34"/>
      <c r="F31" s="34"/>
      <c r="G31" s="74"/>
      <c r="H31" s="77"/>
      <c r="I31" s="74"/>
      <c r="J31" s="75">
        <f>IF(J29&gt;0,0,J29)</f>
        <v>0</v>
      </c>
      <c r="K31" s="75">
        <f>IF(K29&gt;0,0,K29)</f>
        <v>-361.19721999999996</v>
      </c>
      <c r="L31" s="74">
        <f t="shared" ref="L31:P31" ca="1" si="17">IF(L29&gt;0,0,L29)</f>
        <v>-703.82876489862429</v>
      </c>
      <c r="M31" s="74">
        <f t="shared" ca="1" si="17"/>
        <v>-1623.4936572101929</v>
      </c>
      <c r="N31" s="74">
        <f t="shared" ca="1" si="17"/>
        <v>-2284.7560505895935</v>
      </c>
      <c r="O31" s="74">
        <f t="shared" ca="1" si="17"/>
        <v>-1855.9174847940574</v>
      </c>
      <c r="P31" s="74">
        <f t="shared" ca="1" si="17"/>
        <v>-63.115595237923799</v>
      </c>
      <c r="R31" s="2"/>
      <c r="S31" s="2"/>
      <c r="T31" s="8"/>
    </row>
    <row r="32" spans="1:23" collapsed="1"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39"/>
      <c r="M32" s="39"/>
      <c r="N32" s="39"/>
      <c r="O32" s="39"/>
      <c r="P32" s="39"/>
      <c r="R32" s="5"/>
      <c r="S32" s="2"/>
      <c r="T32" s="8"/>
    </row>
    <row r="33" spans="1:20">
      <c r="B33" s="30"/>
      <c r="C33" s="30"/>
      <c r="D33" s="30"/>
      <c r="E33" s="30"/>
      <c r="F33" s="30"/>
      <c r="G33" s="30"/>
      <c r="H33" s="30"/>
      <c r="I33" s="30"/>
      <c r="J33" s="78"/>
      <c r="K33" s="78"/>
      <c r="L33" s="74"/>
      <c r="M33" s="42"/>
      <c r="N33" s="42"/>
      <c r="O33" s="42"/>
      <c r="P33" s="42"/>
      <c r="R33" s="2"/>
      <c r="S33" s="2"/>
      <c r="T33" s="8"/>
    </row>
    <row r="34" spans="1:20">
      <c r="B34" s="79" t="s">
        <v>19</v>
      </c>
      <c r="C34" s="30"/>
      <c r="D34" s="30"/>
      <c r="E34" s="30"/>
      <c r="F34" s="30"/>
      <c r="G34" s="30"/>
      <c r="H34" s="30"/>
      <c r="I34" s="30"/>
      <c r="J34" s="35"/>
      <c r="K34" s="35"/>
      <c r="L34" s="34"/>
      <c r="M34" s="34"/>
      <c r="N34" s="34"/>
      <c r="O34" s="34"/>
      <c r="P34" s="34"/>
      <c r="R34" s="2"/>
      <c r="S34" s="2"/>
      <c r="T34" s="8"/>
    </row>
    <row r="35" spans="1:20">
      <c r="B35" s="30" t="s">
        <v>134</v>
      </c>
      <c r="C35" s="30"/>
      <c r="D35" s="30"/>
      <c r="E35" s="30"/>
      <c r="F35" s="30"/>
      <c r="G35" s="34"/>
      <c r="H35" s="44"/>
      <c r="I35" s="44"/>
      <c r="J35" s="81" t="e">
        <f>J9/I9-1</f>
        <v>#DIV/0!</v>
      </c>
      <c r="K35" s="81"/>
      <c r="L35" s="82"/>
      <c r="M35" s="82">
        <v>5</v>
      </c>
      <c r="N35" s="82">
        <v>2</v>
      </c>
      <c r="O35" s="82">
        <v>1.5</v>
      </c>
      <c r="P35" s="82">
        <v>0.9</v>
      </c>
      <c r="R35" s="2"/>
      <c r="S35" s="2"/>
      <c r="T35" s="8"/>
    </row>
    <row r="36" spans="1:20">
      <c r="B36" s="30" t="s">
        <v>135</v>
      </c>
      <c r="C36" s="30"/>
      <c r="D36" s="30"/>
      <c r="E36" s="30"/>
      <c r="F36" s="30"/>
      <c r="G36" s="44"/>
      <c r="H36" s="44"/>
      <c r="I36" s="44"/>
      <c r="J36" s="81" t="e">
        <f t="shared" ref="J36:J37" si="18">J10/J$9</f>
        <v>#DIV/0!</v>
      </c>
      <c r="K36" s="81">
        <f t="shared" ref="K36" si="19">K10/K$9</f>
        <v>0.90567681260003097</v>
      </c>
      <c r="L36" s="82">
        <v>0.85</v>
      </c>
      <c r="M36" s="82">
        <v>0.8</v>
      </c>
      <c r="N36" s="82">
        <v>0.75</v>
      </c>
      <c r="O36" s="82">
        <v>0.75</v>
      </c>
      <c r="P36" s="82">
        <v>0.75</v>
      </c>
      <c r="R36" s="2"/>
      <c r="S36" s="2"/>
      <c r="T36" s="8"/>
    </row>
    <row r="37" spans="1:20">
      <c r="A37" s="4" t="s">
        <v>0</v>
      </c>
      <c r="B37" s="30"/>
      <c r="C37" s="30" t="s">
        <v>136</v>
      </c>
      <c r="D37" s="30"/>
      <c r="E37" s="30"/>
      <c r="F37" s="30"/>
      <c r="G37" s="44"/>
      <c r="H37" s="44"/>
      <c r="I37" s="44"/>
      <c r="J37" s="83" t="e">
        <f t="shared" si="18"/>
        <v>#DIV/0!</v>
      </c>
      <c r="K37" s="83">
        <f t="shared" ref="K37" si="20">K11/K$9</f>
        <v>9.4323187399968991E-2</v>
      </c>
      <c r="L37" s="84">
        <f>L11/L9</f>
        <v>0.15</v>
      </c>
      <c r="M37" s="85">
        <f>M11/M9</f>
        <v>0.2</v>
      </c>
      <c r="N37" s="85">
        <f>N11/N9</f>
        <v>0.25</v>
      </c>
      <c r="O37" s="85">
        <f>O11/O9</f>
        <v>0.25</v>
      </c>
      <c r="P37" s="85">
        <f>P11/P9</f>
        <v>0.25</v>
      </c>
      <c r="R37" s="2"/>
      <c r="S37" s="2"/>
      <c r="T37" s="8"/>
    </row>
    <row r="38" spans="1:20">
      <c r="B38" s="30"/>
      <c r="C38" s="30"/>
      <c r="D38" s="30"/>
      <c r="E38" s="30"/>
      <c r="F38" s="30"/>
      <c r="G38" s="34"/>
      <c r="H38" s="34"/>
      <c r="I38" s="34"/>
      <c r="J38" s="35"/>
      <c r="K38" s="35"/>
      <c r="L38" s="80"/>
      <c r="M38" s="80"/>
      <c r="N38" s="80"/>
      <c r="O38" s="80"/>
      <c r="P38" s="80"/>
    </row>
    <row r="39" spans="1:20">
      <c r="B39" s="30" t="str">
        <f>B13&amp;", as % of Sales"</f>
        <v>Operating Expenses, as % of Sales</v>
      </c>
      <c r="C39" s="30"/>
      <c r="D39" s="30"/>
      <c r="E39" s="30"/>
      <c r="F39" s="30"/>
      <c r="G39" s="44"/>
      <c r="H39" s="44"/>
      <c r="I39" s="44"/>
      <c r="J39" s="81" t="e">
        <f t="shared" ref="J39:J40" si="21">J13/J$9</f>
        <v>#DIV/0!</v>
      </c>
      <c r="K39" s="81">
        <f t="shared" ref="K39" si="22">K13/K$9</f>
        <v>15.460259479058962</v>
      </c>
      <c r="L39" s="82">
        <v>3</v>
      </c>
      <c r="M39" s="82">
        <v>0.85</v>
      </c>
      <c r="N39" s="82">
        <v>0.4</v>
      </c>
      <c r="O39" s="82">
        <v>0.2</v>
      </c>
      <c r="P39" s="82">
        <v>0.15</v>
      </c>
    </row>
    <row r="40" spans="1:20">
      <c r="B40" s="30"/>
      <c r="C40" s="33" t="s">
        <v>137</v>
      </c>
      <c r="D40" s="30"/>
      <c r="E40" s="30"/>
      <c r="F40" s="30"/>
      <c r="G40" s="264"/>
      <c r="H40" s="264"/>
      <c r="I40" s="264"/>
      <c r="J40" s="87" t="e">
        <f t="shared" si="21"/>
        <v>#DIV/0!</v>
      </c>
      <c r="K40" s="87">
        <f t="shared" ref="K40" si="23">K14/K$9</f>
        <v>-15.365936291658992</v>
      </c>
      <c r="L40" s="86">
        <f>L14/L$9</f>
        <v>-2.85</v>
      </c>
      <c r="M40" s="86">
        <f>M14/M$9</f>
        <v>-0.65</v>
      </c>
      <c r="N40" s="86">
        <f>N14/N$9</f>
        <v>-0.15</v>
      </c>
      <c r="O40" s="86">
        <f>O14/O$9</f>
        <v>0.05</v>
      </c>
      <c r="P40" s="86">
        <f>P14/P$9</f>
        <v>0.1</v>
      </c>
    </row>
    <row r="41" spans="1:20">
      <c r="B41" s="39"/>
      <c r="C41" s="39"/>
      <c r="D41" s="39"/>
      <c r="E41" s="39"/>
      <c r="F41" s="39"/>
      <c r="G41" s="39"/>
      <c r="H41" s="39"/>
      <c r="I41" s="39"/>
      <c r="J41" s="40"/>
      <c r="K41" s="40"/>
      <c r="L41" s="39"/>
      <c r="M41" s="39"/>
      <c r="N41" s="39"/>
      <c r="O41" s="39"/>
      <c r="P41" s="39"/>
    </row>
    <row r="42" spans="1:20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20" outlineLevel="1">
      <c r="B45" s="2"/>
      <c r="C45" s="2"/>
      <c r="D45" s="2"/>
      <c r="E45" s="2"/>
      <c r="F45" s="2"/>
      <c r="G45" s="2"/>
      <c r="H45" s="2"/>
      <c r="I45" s="2"/>
      <c r="J45" s="25"/>
      <c r="K45" s="25"/>
      <c r="L45" s="2"/>
      <c r="M45" s="2"/>
      <c r="N45" s="2"/>
      <c r="O45" s="2"/>
      <c r="P45" s="2"/>
    </row>
    <row r="46" spans="1:20" outlineLevel="1">
      <c r="B46" s="3" t="s">
        <v>20</v>
      </c>
      <c r="G46" s="14" t="e">
        <f>G20/G$9</f>
        <v>#DIV/0!</v>
      </c>
      <c r="H46" s="14" t="e">
        <f>H20/H$9</f>
        <v>#DIV/0!</v>
      </c>
      <c r="I46" s="14" t="e">
        <f>I20/I$9</f>
        <v>#DIV/0!</v>
      </c>
      <c r="J46" s="26" t="e">
        <f>J20/J$9</f>
        <v>#DIV/0!</v>
      </c>
      <c r="K46" s="26">
        <f>K20/K$9</f>
        <v>6.3689456066550517E-4</v>
      </c>
      <c r="L46" s="15">
        <f>K46</f>
        <v>6.3689456066550517E-4</v>
      </c>
      <c r="M46" s="15">
        <f>L46</f>
        <v>6.3689456066550517E-4</v>
      </c>
      <c r="N46" s="15">
        <f>M46</f>
        <v>6.3689456066550517E-4</v>
      </c>
      <c r="O46" s="15">
        <f>N46</f>
        <v>6.3689456066550517E-4</v>
      </c>
      <c r="P46" s="15">
        <f>O46</f>
        <v>6.3689456066550517E-4</v>
      </c>
    </row>
    <row r="47" spans="1:20" outlineLevel="1">
      <c r="G47" s="2"/>
      <c r="H47" s="2"/>
      <c r="I47" s="2"/>
      <c r="J47" s="25"/>
      <c r="K47" s="25"/>
      <c r="L47" s="2"/>
      <c r="M47" s="2"/>
      <c r="N47" s="2"/>
      <c r="O47" s="2"/>
      <c r="P47" s="2"/>
    </row>
    <row r="48" spans="1:20" outlineLevel="1">
      <c r="B48" s="3" t="s">
        <v>21</v>
      </c>
      <c r="G48" s="14" t="e">
        <f>IF(G21&lt;0,1-(G23/G21),G23/G21)</f>
        <v>#DIV/0!</v>
      </c>
      <c r="H48" s="14" t="e">
        <f>IF(H21&lt;0,1-(H23/H21),H23/H21)</f>
        <v>#DIV/0!</v>
      </c>
      <c r="I48" s="14" t="e">
        <f>IF(I21&lt;0,1-(I23/I21),I23/I21)</f>
        <v>#DIV/0!</v>
      </c>
      <c r="J48" s="26" t="e">
        <f>IF(J21&lt;0,1-(J23/J21),J23/J21)</f>
        <v>#DIV/0!</v>
      </c>
      <c r="K48" s="26">
        <f>IF(K21&lt;0,1-(K23/K21),K23/K21)</f>
        <v>1.0044174828288301</v>
      </c>
      <c r="L48" s="15">
        <v>0.4</v>
      </c>
      <c r="M48" s="14">
        <f>L48</f>
        <v>0.4</v>
      </c>
      <c r="N48" s="14">
        <f>M48</f>
        <v>0.4</v>
      </c>
      <c r="O48" s="14">
        <f>N48</f>
        <v>0.4</v>
      </c>
      <c r="P48" s="14">
        <f>O48</f>
        <v>0.4</v>
      </c>
    </row>
    <row r="49" spans="1:19" outlineLevel="1">
      <c r="A49" s="4" t="s">
        <v>0</v>
      </c>
      <c r="C49" s="10" t="s">
        <v>22</v>
      </c>
      <c r="G49" s="16" t="e">
        <f t="shared" ref="G49:P49" si="24">G24/G9</f>
        <v>#DIV/0!</v>
      </c>
      <c r="H49" s="16" t="e">
        <f t="shared" si="24"/>
        <v>#DIV/0!</v>
      </c>
      <c r="I49" s="16" t="e">
        <f t="shared" si="24"/>
        <v>#DIV/0!</v>
      </c>
      <c r="J49" s="17" t="e">
        <f t="shared" si="24"/>
        <v>#DIV/0!</v>
      </c>
      <c r="K49" s="17">
        <f t="shared" ref="K49" si="25">K24/K9</f>
        <v>-17.175720578445674</v>
      </c>
      <c r="L49" s="16">
        <f t="shared" ca="1" si="24"/>
        <v>-3.0601250647766274</v>
      </c>
      <c r="M49" s="16">
        <f t="shared" ca="1" si="24"/>
        <v>-0.66642383500838298</v>
      </c>
      <c r="N49" s="16">
        <f t="shared" ca="1" si="24"/>
        <v>-0.15972521579212576</v>
      </c>
      <c r="O49" s="16">
        <f t="shared" ca="1" si="24"/>
        <v>4.1433677854641179E-2</v>
      </c>
      <c r="P49" s="16">
        <f t="shared" ca="1" si="24"/>
        <v>9.1167144142188336E-2</v>
      </c>
    </row>
    <row r="50" spans="1:19" outlineLevel="1">
      <c r="B50" s="22"/>
      <c r="C50" s="22"/>
      <c r="D50" s="22"/>
      <c r="E50" s="22"/>
      <c r="F50" s="22"/>
      <c r="G50" s="22"/>
      <c r="H50" s="22"/>
      <c r="I50" s="22"/>
      <c r="J50" s="23"/>
      <c r="K50" s="23"/>
      <c r="L50" s="22"/>
      <c r="M50" s="22"/>
      <c r="N50" s="22"/>
      <c r="O50" s="22"/>
      <c r="P50" s="22"/>
      <c r="Q50" s="2"/>
      <c r="R50" s="2"/>
      <c r="S50" s="2"/>
    </row>
    <row r="51" spans="1:19">
      <c r="B51" s="18" t="s">
        <v>23</v>
      </c>
    </row>
    <row r="52" spans="1:19">
      <c r="A52" s="4" t="s">
        <v>0</v>
      </c>
      <c r="B52" s="19">
        <v>1</v>
      </c>
    </row>
    <row r="53" spans="1:19">
      <c r="J53" s="20"/>
      <c r="K53" s="20"/>
      <c r="L53" s="21"/>
      <c r="M53" s="21"/>
      <c r="N53" s="21"/>
      <c r="O53" s="21"/>
      <c r="P53" s="21"/>
    </row>
    <row r="54" spans="1:19">
      <c r="J54" s="21"/>
      <c r="K54" s="21"/>
      <c r="L54" s="20"/>
      <c r="M54" s="20"/>
      <c r="N54" s="20"/>
      <c r="O54" s="20"/>
      <c r="P54" s="20"/>
    </row>
    <row r="55" spans="1:19">
      <c r="J55" s="21"/>
      <c r="K55" s="21"/>
      <c r="L55" s="20"/>
      <c r="M55" s="20"/>
      <c r="N55" s="20"/>
      <c r="O55" s="20"/>
      <c r="P55" s="20"/>
    </row>
    <row r="56" spans="1:19">
      <c r="J56" s="21"/>
      <c r="K56" s="21"/>
      <c r="L56" s="20"/>
      <c r="M56" s="20"/>
      <c r="N56" s="20"/>
      <c r="O56" s="20"/>
      <c r="P56" s="20"/>
    </row>
    <row r="57" spans="1:19">
      <c r="J57" s="21"/>
      <c r="K57" s="21"/>
      <c r="L57" s="20"/>
      <c r="M57" s="20"/>
      <c r="N57" s="20"/>
      <c r="O57" s="20"/>
      <c r="P57" s="20"/>
    </row>
    <row r="58" spans="1:19">
      <c r="J58" s="21"/>
      <c r="K58" s="21"/>
      <c r="L58" s="20"/>
      <c r="M58" s="20"/>
      <c r="N58" s="20"/>
      <c r="O58" s="20"/>
      <c r="P58" s="20"/>
    </row>
  </sheetData>
  <pageMargins left="0.25" right="0.25" top="0.25" bottom="0.25" header="0.3" footer="0.3"/>
  <pageSetup scale="90" firstPageNumber="4" orientation="landscape" useFirstPageNumber="1" verticalDpi="1200" r:id="rId1"/>
  <headerFooter scaleWithDoc="0" alignWithMargins="0">
    <oddFooter>&amp;L&amp;G&amp;C&amp;"Calibri,Regular"Confidential Draft - For Internal Review Only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00"/>
    <pageSetUpPr autoPageBreaks="0"/>
  </sheetPr>
  <dimension ref="A2:S40"/>
  <sheetViews>
    <sheetView showGridLines="0" view="pageBreakPreview" topLeftCell="B1" zoomScaleSheetLayoutView="100" workbookViewId="0">
      <selection activeCell="L9" sqref="L9"/>
    </sheetView>
  </sheetViews>
  <sheetFormatPr defaultColWidth="9.109375" defaultRowHeight="13.8" outlineLevelRow="1" outlineLevelCol="1"/>
  <cols>
    <col min="1" max="1" width="5.6640625" style="4" customWidth="1"/>
    <col min="2" max="4" width="2.6640625" style="3" customWidth="1"/>
    <col min="5" max="9" width="11.6640625" style="3" customWidth="1"/>
    <col min="10" max="10" width="11.6640625" style="3" customWidth="1" outlineLevel="1"/>
    <col min="11" max="16" width="11.6640625" style="3" customWidth="1"/>
    <col min="17" max="17" width="5.6640625" style="3" customWidth="1"/>
    <col min="18" max="16384" width="9.109375" style="3"/>
  </cols>
  <sheetData>
    <row r="2" spans="1:18" ht="27.6">
      <c r="A2" s="3"/>
      <c r="B2" s="268" t="s">
        <v>31</v>
      </c>
    </row>
    <row r="4" spans="1:18" ht="22.8">
      <c r="B4" s="6" t="s">
        <v>32</v>
      </c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>
      <c r="A6" s="1"/>
      <c r="B6" s="48" t="str">
        <f>Inputs!D8</f>
        <v>In thousands of dollars (000)</v>
      </c>
      <c r="C6" s="36"/>
      <c r="D6" s="36"/>
      <c r="E6" s="36"/>
      <c r="F6" s="36"/>
      <c r="G6" s="99"/>
      <c r="H6" s="99"/>
      <c r="I6" s="99"/>
      <c r="J6" s="50"/>
      <c r="K6" s="50" t="s">
        <v>281</v>
      </c>
      <c r="L6" s="51" t="str">
        <f>"Projections ending "&amp;TEXT(Inputs!D9,"mmm dd")&amp;","</f>
        <v>Projections ending Dec 31,</v>
      </c>
      <c r="M6" s="50"/>
      <c r="N6" s="50"/>
      <c r="O6" s="50"/>
      <c r="P6" s="50"/>
    </row>
    <row r="7" spans="1:18">
      <c r="A7" s="1"/>
      <c r="B7" s="48"/>
      <c r="C7" s="49"/>
      <c r="D7" s="49"/>
      <c r="E7" s="49"/>
      <c r="F7" s="49"/>
      <c r="G7" s="88"/>
      <c r="H7" s="88"/>
      <c r="I7" s="88"/>
      <c r="J7" s="272">
        <f>Inputs!D7</f>
        <v>42460</v>
      </c>
      <c r="K7" s="265">
        <v>40604</v>
      </c>
      <c r="L7" s="273">
        <f>J7+1</f>
        <v>42461</v>
      </c>
      <c r="M7" s="273">
        <f>L7+1</f>
        <v>42462</v>
      </c>
      <c r="N7" s="273">
        <f>M7+1</f>
        <v>42463</v>
      </c>
      <c r="O7" s="273">
        <f>N7+1</f>
        <v>42464</v>
      </c>
      <c r="P7" s="273">
        <f>O7+1</f>
        <v>42465</v>
      </c>
      <c r="R7" s="27"/>
    </row>
    <row r="8" spans="1:18">
      <c r="B8" s="30"/>
      <c r="C8" s="30"/>
      <c r="D8" s="30"/>
      <c r="E8" s="30"/>
      <c r="F8" s="30"/>
      <c r="G8" s="30"/>
      <c r="H8" s="30"/>
      <c r="I8" s="34"/>
      <c r="J8" s="35"/>
      <c r="K8" s="35"/>
      <c r="L8" s="34"/>
      <c r="M8" s="34"/>
      <c r="N8" s="34"/>
      <c r="O8" s="34"/>
      <c r="P8" s="34"/>
      <c r="R8" s="27"/>
    </row>
    <row r="9" spans="1:18">
      <c r="A9" s="4" t="s">
        <v>0</v>
      </c>
      <c r="B9" s="30" t="s">
        <v>33</v>
      </c>
      <c r="C9" s="30"/>
      <c r="D9" s="30"/>
      <c r="E9" s="30"/>
      <c r="F9" s="30"/>
      <c r="G9" s="53"/>
      <c r="H9" s="53"/>
      <c r="I9" s="53"/>
      <c r="J9" s="54"/>
      <c r="K9" s="139">
        <f>Buildup_BS!B6/1000</f>
        <v>570.19756000000007</v>
      </c>
      <c r="L9" s="53">
        <f ca="1">CashFlow!K28</f>
        <v>-746.57317496711744</v>
      </c>
      <c r="M9" s="53">
        <f ca="1">CashFlow!L28</f>
        <v>-139.33505526955344</v>
      </c>
      <c r="N9" s="53">
        <f ca="1">CashFlow!M28</f>
        <v>-783.35125771288119</v>
      </c>
      <c r="O9" s="53">
        <f ca="1">CashFlow!N28</f>
        <v>-294.16384260227665</v>
      </c>
      <c r="P9" s="53">
        <f ca="1">CashFlow!O28</f>
        <v>1571.2760609264399</v>
      </c>
      <c r="R9" s="27"/>
    </row>
    <row r="10" spans="1:18">
      <c r="B10" s="30" t="s">
        <v>34</v>
      </c>
      <c r="C10" s="30"/>
      <c r="D10" s="30"/>
      <c r="E10" s="30"/>
      <c r="F10" s="30"/>
      <c r="G10" s="55"/>
      <c r="H10" s="55"/>
      <c r="I10" s="55"/>
      <c r="J10" s="63"/>
      <c r="K10" s="63">
        <v>0</v>
      </c>
      <c r="L10" s="55">
        <f>WC!M9</f>
        <v>9.4520547945205475</v>
      </c>
      <c r="M10" s="55">
        <f>WC!N9</f>
        <v>56.712328767123282</v>
      </c>
      <c r="N10" s="55">
        <f>WC!O9</f>
        <v>170.13698630136986</v>
      </c>
      <c r="O10" s="55">
        <f>WC!P9</f>
        <v>425.34246575342462</v>
      </c>
      <c r="P10" s="55">
        <f>WC!Q9</f>
        <v>808.15068493150682</v>
      </c>
      <c r="R10" s="27"/>
    </row>
    <row r="11" spans="1:18" hidden="1">
      <c r="B11" s="30" t="s">
        <v>140</v>
      </c>
      <c r="C11" s="30"/>
      <c r="D11" s="30"/>
      <c r="E11" s="30"/>
      <c r="F11" s="30"/>
      <c r="G11" s="55"/>
      <c r="H11" s="55"/>
      <c r="I11" s="55"/>
      <c r="J11" s="90"/>
      <c r="K11" s="90">
        <v>0</v>
      </c>
      <c r="L11" s="55">
        <f>WC!M10</f>
        <v>0</v>
      </c>
      <c r="M11" s="55">
        <f>WC!N10</f>
        <v>0</v>
      </c>
      <c r="N11" s="55">
        <f>WC!O10</f>
        <v>0</v>
      </c>
      <c r="O11" s="55">
        <f>WC!P10</f>
        <v>0</v>
      </c>
      <c r="P11" s="55">
        <f>WC!Q10</f>
        <v>0</v>
      </c>
      <c r="R11" s="27"/>
    </row>
    <row r="12" spans="1:18">
      <c r="B12" s="30" t="s">
        <v>35</v>
      </c>
      <c r="C12" s="30"/>
      <c r="D12" s="30"/>
      <c r="E12" s="30"/>
      <c r="F12" s="30"/>
      <c r="G12" s="55"/>
      <c r="H12" s="55"/>
      <c r="I12" s="55"/>
      <c r="J12" s="63"/>
      <c r="K12" s="63">
        <v>0</v>
      </c>
      <c r="L12" s="55">
        <f>WC!M11</f>
        <v>0</v>
      </c>
      <c r="M12" s="55">
        <f>WC!N11</f>
        <v>0</v>
      </c>
      <c r="N12" s="55">
        <f>WC!O11</f>
        <v>0</v>
      </c>
      <c r="O12" s="55">
        <f>WC!P11</f>
        <v>0</v>
      </c>
      <c r="P12" s="55">
        <f>WC!Q11</f>
        <v>0</v>
      </c>
      <c r="R12" s="27"/>
    </row>
    <row r="13" spans="1:18">
      <c r="B13" s="30"/>
      <c r="C13" s="30" t="s">
        <v>36</v>
      </c>
      <c r="D13" s="30"/>
      <c r="E13" s="30"/>
      <c r="F13" s="30"/>
      <c r="G13" s="55"/>
      <c r="H13" s="55"/>
      <c r="I13" s="55"/>
      <c r="J13" s="57">
        <f t="shared" ref="J13:P13" si="0">SUM(J9:J12)</f>
        <v>0</v>
      </c>
      <c r="K13" s="57">
        <f t="shared" ref="K13" si="1">SUM(K9:K12)</f>
        <v>570.19756000000007</v>
      </c>
      <c r="L13" s="56">
        <f t="shared" ca="1" si="0"/>
        <v>-737.12112017259687</v>
      </c>
      <c r="M13" s="56">
        <f t="shared" ca="1" si="0"/>
        <v>-82.622726502430154</v>
      </c>
      <c r="N13" s="56">
        <f t="shared" ca="1" si="0"/>
        <v>-613.21427141151139</v>
      </c>
      <c r="O13" s="56">
        <f t="shared" ca="1" si="0"/>
        <v>131.17862315114797</v>
      </c>
      <c r="P13" s="56">
        <f t="shared" ca="1" si="0"/>
        <v>2379.4267458579466</v>
      </c>
      <c r="R13" s="27"/>
    </row>
    <row r="14" spans="1:18">
      <c r="B14" s="30"/>
      <c r="C14" s="30"/>
      <c r="D14" s="30"/>
      <c r="E14" s="30"/>
      <c r="F14" s="30"/>
      <c r="G14" s="34"/>
      <c r="H14" s="34"/>
      <c r="I14" s="34"/>
      <c r="J14" s="35"/>
      <c r="K14" s="35"/>
      <c r="L14" s="34"/>
      <c r="M14" s="34"/>
      <c r="N14" s="34"/>
      <c r="O14" s="34"/>
      <c r="P14" s="34"/>
      <c r="R14" s="27"/>
    </row>
    <row r="15" spans="1:18">
      <c r="A15" s="4" t="s">
        <v>0</v>
      </c>
      <c r="B15" s="30" t="s">
        <v>37</v>
      </c>
      <c r="C15" s="30"/>
      <c r="D15" s="30"/>
      <c r="E15" s="30"/>
      <c r="F15" s="30"/>
      <c r="G15" s="55"/>
      <c r="H15" s="55"/>
      <c r="I15" s="55"/>
      <c r="J15" s="63"/>
      <c r="K15" s="141">
        <f>Buildup_BS!B12/1000</f>
        <v>28.609310000000001</v>
      </c>
      <c r="L15" s="55">
        <f>'D&amp;A'!L13</f>
        <v>24.654654999999998</v>
      </c>
      <c r="M15" s="55">
        <f>'D&amp;A'!M13</f>
        <v>62.498218333333341</v>
      </c>
      <c r="N15" s="55">
        <f>'D&amp;A'!N13</f>
        <v>178.52600000000001</v>
      </c>
      <c r="O15" s="55">
        <f>'D&amp;A'!O13</f>
        <v>437.18399999999997</v>
      </c>
      <c r="P15" s="55">
        <f>'D&amp;A'!P13</f>
        <v>843.05626000000007</v>
      </c>
      <c r="R15" s="27"/>
    </row>
    <row r="16" spans="1:18" outlineLevel="1">
      <c r="B16" s="30" t="s">
        <v>38</v>
      </c>
      <c r="C16" s="30"/>
      <c r="D16" s="30"/>
      <c r="E16" s="30"/>
      <c r="F16" s="30"/>
      <c r="G16" s="55"/>
      <c r="H16" s="55"/>
      <c r="I16" s="55"/>
      <c r="J16" s="63">
        <v>0</v>
      </c>
      <c r="K16" s="63">
        <v>0</v>
      </c>
      <c r="L16" s="55">
        <f>'D&amp;A'!L46</f>
        <v>0</v>
      </c>
      <c r="M16" s="55">
        <f>'D&amp;A'!M46</f>
        <v>0</v>
      </c>
      <c r="N16" s="55">
        <f>'D&amp;A'!N46</f>
        <v>0</v>
      </c>
      <c r="O16" s="55">
        <f>'D&amp;A'!O46</f>
        <v>0</v>
      </c>
      <c r="P16" s="55">
        <f>'D&amp;A'!P46</f>
        <v>0</v>
      </c>
      <c r="R16" s="27"/>
    </row>
    <row r="17" spans="1:19" outlineLevel="1">
      <c r="B17" s="30" t="s">
        <v>39</v>
      </c>
      <c r="C17" s="30"/>
      <c r="D17" s="30"/>
      <c r="E17" s="30"/>
      <c r="F17" s="30"/>
      <c r="G17" s="55"/>
      <c r="H17" s="55"/>
      <c r="I17" s="55"/>
      <c r="J17" s="63">
        <v>0</v>
      </c>
      <c r="K17" s="141">
        <f>Buildup_BS!B16/1000</f>
        <v>4.7352700000000008</v>
      </c>
      <c r="L17" s="55">
        <f>K17</f>
        <v>4.7352700000000008</v>
      </c>
      <c r="M17" s="55">
        <f t="shared" ref="M17:P17" si="2">L17</f>
        <v>4.7352700000000008</v>
      </c>
      <c r="N17" s="55">
        <f t="shared" si="2"/>
        <v>4.7352700000000008</v>
      </c>
      <c r="O17" s="55">
        <f t="shared" si="2"/>
        <v>4.7352700000000008</v>
      </c>
      <c r="P17" s="55">
        <f t="shared" si="2"/>
        <v>4.7352700000000008</v>
      </c>
      <c r="R17" s="27"/>
      <c r="S17" s="27"/>
    </row>
    <row r="18" spans="1:19">
      <c r="B18" s="30"/>
      <c r="C18" s="30" t="s">
        <v>40</v>
      </c>
      <c r="D18" s="30"/>
      <c r="E18" s="30"/>
      <c r="F18" s="30"/>
      <c r="G18" s="55"/>
      <c r="H18" s="55"/>
      <c r="I18" s="55"/>
      <c r="J18" s="57">
        <f t="shared" ref="J18:P18" si="3">SUM(J15:J17)</f>
        <v>0</v>
      </c>
      <c r="K18" s="57">
        <f t="shared" ref="K18" si="4">SUM(K15:K17)</f>
        <v>33.344580000000001</v>
      </c>
      <c r="L18" s="56">
        <f t="shared" si="3"/>
        <v>29.389924999999998</v>
      </c>
      <c r="M18" s="56">
        <f t="shared" si="3"/>
        <v>67.233488333333341</v>
      </c>
      <c r="N18" s="56">
        <f t="shared" si="3"/>
        <v>183.26127000000002</v>
      </c>
      <c r="O18" s="56">
        <f t="shared" si="3"/>
        <v>441.91926999999998</v>
      </c>
      <c r="P18" s="56">
        <f t="shared" si="3"/>
        <v>847.79153000000008</v>
      </c>
      <c r="R18" s="27"/>
      <c r="S18" s="27"/>
    </row>
    <row r="19" spans="1:19">
      <c r="B19" s="30"/>
      <c r="C19" s="30"/>
      <c r="D19" s="30"/>
      <c r="E19" s="30"/>
      <c r="F19" s="30"/>
      <c r="G19" s="34"/>
      <c r="H19" s="34"/>
      <c r="I19" s="34"/>
      <c r="J19" s="35"/>
      <c r="K19" s="35"/>
      <c r="L19" s="34"/>
      <c r="M19" s="34"/>
      <c r="N19" s="34"/>
      <c r="O19" s="34"/>
      <c r="P19" s="34"/>
      <c r="R19" s="27"/>
    </row>
    <row r="20" spans="1:19">
      <c r="A20" s="4" t="s">
        <v>0</v>
      </c>
      <c r="B20" s="33" t="s">
        <v>25</v>
      </c>
      <c r="C20" s="30"/>
      <c r="D20" s="30"/>
      <c r="E20" s="30"/>
      <c r="F20" s="30"/>
      <c r="G20" s="46"/>
      <c r="H20" s="46"/>
      <c r="I20" s="46"/>
      <c r="J20" s="91">
        <f t="shared" ref="J20:P20" si="5">J13+J18</f>
        <v>0</v>
      </c>
      <c r="K20" s="91">
        <f t="shared" ref="K20" si="6">K13+K18</f>
        <v>603.54214000000002</v>
      </c>
      <c r="L20" s="46">
        <f t="shared" ca="1" si="5"/>
        <v>-707.73119517259693</v>
      </c>
      <c r="M20" s="46">
        <f t="shared" ca="1" si="5"/>
        <v>-15.389238169096814</v>
      </c>
      <c r="N20" s="46">
        <f t="shared" ca="1" si="5"/>
        <v>-429.95300141151137</v>
      </c>
      <c r="O20" s="46">
        <f t="shared" ca="1" si="5"/>
        <v>573.0978931511479</v>
      </c>
      <c r="P20" s="46">
        <f t="shared" ca="1" si="5"/>
        <v>3227.2182758579465</v>
      </c>
      <c r="R20" s="27"/>
    </row>
    <row r="21" spans="1:19">
      <c r="B21" s="30"/>
      <c r="C21" s="30"/>
      <c r="D21" s="30"/>
      <c r="E21" s="30"/>
      <c r="F21" s="30"/>
      <c r="G21" s="34"/>
      <c r="H21" s="34"/>
      <c r="I21" s="34"/>
      <c r="J21" s="35"/>
      <c r="K21" s="35"/>
      <c r="L21" s="34"/>
      <c r="M21" s="34"/>
      <c r="N21" s="34"/>
      <c r="O21" s="34"/>
      <c r="P21" s="34"/>
      <c r="R21" s="27"/>
    </row>
    <row r="22" spans="1:19">
      <c r="B22" s="92" t="s">
        <v>41</v>
      </c>
      <c r="C22" s="30"/>
      <c r="D22" s="30"/>
      <c r="E22" s="30"/>
      <c r="F22" s="30"/>
      <c r="G22" s="55"/>
      <c r="H22" s="55"/>
      <c r="I22" s="55"/>
      <c r="J22" s="76"/>
      <c r="K22" s="76">
        <v>0</v>
      </c>
      <c r="L22" s="64">
        <f>WC!M14</f>
        <v>24.102739726027394</v>
      </c>
      <c r="M22" s="64">
        <f>WC!N14</f>
        <v>136.10958904109589</v>
      </c>
      <c r="N22" s="64">
        <f>WC!O14</f>
        <v>382.8082191780822</v>
      </c>
      <c r="O22" s="64">
        <f>WC!P14</f>
        <v>957.02054794520541</v>
      </c>
      <c r="P22" s="64">
        <f>WC!Q14</f>
        <v>1818.3390410958903</v>
      </c>
      <c r="R22" s="27"/>
    </row>
    <row r="23" spans="1:19">
      <c r="B23" s="92" t="s">
        <v>42</v>
      </c>
      <c r="C23" s="92"/>
      <c r="D23" s="30"/>
      <c r="E23" s="92"/>
      <c r="F23" s="30"/>
      <c r="G23" s="55"/>
      <c r="H23" s="55"/>
      <c r="I23" s="55"/>
      <c r="J23" s="63"/>
      <c r="K23" s="63">
        <v>0</v>
      </c>
      <c r="L23" s="64">
        <f>WC!M15</f>
        <v>0</v>
      </c>
      <c r="M23" s="64">
        <f>WC!N15</f>
        <v>0</v>
      </c>
      <c r="N23" s="64">
        <f>WC!O15</f>
        <v>0</v>
      </c>
      <c r="O23" s="64">
        <f>WC!P15</f>
        <v>0</v>
      </c>
      <c r="P23" s="64">
        <f>WC!Q15</f>
        <v>0</v>
      </c>
      <c r="R23" s="27"/>
    </row>
    <row r="24" spans="1:19">
      <c r="B24" s="92" t="s">
        <v>43</v>
      </c>
      <c r="C24" s="92"/>
      <c r="D24" s="30"/>
      <c r="E24" s="92"/>
      <c r="F24" s="30"/>
      <c r="G24" s="55"/>
      <c r="H24" s="55"/>
      <c r="I24" s="55"/>
      <c r="J24" s="76"/>
      <c r="K24" s="141">
        <f>Buildup_BS!B24/1000</f>
        <v>631.54731000000004</v>
      </c>
      <c r="L24" s="64">
        <f>'D-E'!L39</f>
        <v>0</v>
      </c>
      <c r="M24" s="64">
        <f>'D-E'!M39</f>
        <v>0</v>
      </c>
      <c r="N24" s="64">
        <f>'D-E'!N39</f>
        <v>0</v>
      </c>
      <c r="O24" s="64">
        <f>'D-E'!O39</f>
        <v>0</v>
      </c>
      <c r="P24" s="64">
        <f>'D-E'!P39</f>
        <v>0</v>
      </c>
      <c r="R24" s="27"/>
    </row>
    <row r="25" spans="1:19">
      <c r="B25" s="92" t="s">
        <v>44</v>
      </c>
      <c r="C25" s="30"/>
      <c r="D25" s="30"/>
      <c r="E25" s="30"/>
      <c r="F25" s="30"/>
      <c r="G25" s="55"/>
      <c r="H25" s="55"/>
      <c r="I25" s="55"/>
      <c r="J25" s="76"/>
      <c r="K25" s="76">
        <v>0</v>
      </c>
      <c r="L25" s="64">
        <f>WC!M16</f>
        <v>0</v>
      </c>
      <c r="M25" s="64">
        <f>WC!N16</f>
        <v>0</v>
      </c>
      <c r="N25" s="64">
        <f>WC!O16</f>
        <v>0</v>
      </c>
      <c r="O25" s="64">
        <f>WC!P16</f>
        <v>0</v>
      </c>
      <c r="P25" s="64">
        <f>WC!Q16</f>
        <v>0</v>
      </c>
      <c r="R25" s="27"/>
    </row>
    <row r="26" spans="1:19">
      <c r="B26" s="30"/>
      <c r="C26" s="30" t="s">
        <v>45</v>
      </c>
      <c r="D26" s="30"/>
      <c r="E26" s="30"/>
      <c r="F26" s="30"/>
      <c r="G26" s="55"/>
      <c r="H26" s="55"/>
      <c r="I26" s="55"/>
      <c r="J26" s="57">
        <f>SUM(J22:J25)</f>
        <v>0</v>
      </c>
      <c r="K26" s="57">
        <f>SUM(K22:K25)</f>
        <v>631.54731000000004</v>
      </c>
      <c r="L26" s="56">
        <f t="shared" ref="L26:P26" si="7">SUM(L22:L25)</f>
        <v>24.102739726027394</v>
      </c>
      <c r="M26" s="56">
        <f t="shared" si="7"/>
        <v>136.10958904109589</v>
      </c>
      <c r="N26" s="56">
        <f t="shared" si="7"/>
        <v>382.8082191780822</v>
      </c>
      <c r="O26" s="56">
        <f t="shared" si="7"/>
        <v>957.02054794520541</v>
      </c>
      <c r="P26" s="56">
        <f t="shared" si="7"/>
        <v>1818.3390410958903</v>
      </c>
      <c r="R26" s="27"/>
    </row>
    <row r="27" spans="1:19">
      <c r="B27" s="30"/>
      <c r="C27" s="30"/>
      <c r="D27" s="30"/>
      <c r="E27" s="30"/>
      <c r="F27" s="30"/>
      <c r="G27" s="34"/>
      <c r="H27" s="34"/>
      <c r="I27" s="34"/>
      <c r="J27" s="35"/>
      <c r="K27" s="35"/>
      <c r="L27" s="45"/>
      <c r="M27" s="34"/>
      <c r="N27" s="34"/>
      <c r="O27" s="34"/>
      <c r="P27" s="34"/>
      <c r="R27" s="27"/>
    </row>
    <row r="28" spans="1:19">
      <c r="B28" s="30" t="s">
        <v>46</v>
      </c>
      <c r="C28" s="30"/>
      <c r="D28" s="30"/>
      <c r="E28" s="30"/>
      <c r="F28" s="30"/>
      <c r="G28" s="55"/>
      <c r="H28" s="55"/>
      <c r="I28" s="55"/>
      <c r="J28" s="63"/>
      <c r="K28" s="63">
        <v>0</v>
      </c>
      <c r="L28" s="55">
        <f>'D-E'!L18</f>
        <v>0</v>
      </c>
      <c r="M28" s="55">
        <f>'D-E'!M18</f>
        <v>0</v>
      </c>
      <c r="N28" s="55">
        <f>'D-E'!N18</f>
        <v>0</v>
      </c>
      <c r="O28" s="55">
        <f>'D-E'!O18</f>
        <v>0</v>
      </c>
      <c r="P28" s="55">
        <f>'D-E'!P18</f>
        <v>0</v>
      </c>
      <c r="R28" s="27"/>
    </row>
    <row r="29" spans="1:19" hidden="1" outlineLevel="1">
      <c r="B29" s="30" t="s">
        <v>47</v>
      </c>
      <c r="C29" s="30"/>
      <c r="D29" s="30"/>
      <c r="E29" s="30"/>
      <c r="F29" s="30"/>
      <c r="G29" s="55"/>
      <c r="H29" s="55"/>
      <c r="I29" s="55"/>
      <c r="J29" s="63">
        <v>0</v>
      </c>
      <c r="K29" s="63">
        <v>0</v>
      </c>
      <c r="L29" s="64">
        <f>'D-E'!L25</f>
        <v>0</v>
      </c>
      <c r="M29" s="64">
        <f>'D-E'!M25</f>
        <v>0</v>
      </c>
      <c r="N29" s="64">
        <f>'D-E'!N25</f>
        <v>0</v>
      </c>
      <c r="O29" s="64">
        <f>'D-E'!O25</f>
        <v>0</v>
      </c>
      <c r="P29" s="64">
        <f>'D-E'!P25</f>
        <v>0</v>
      </c>
      <c r="R29" s="27"/>
      <c r="S29" s="27"/>
    </row>
    <row r="30" spans="1:19" hidden="1" outlineLevel="1">
      <c r="B30" s="30" t="s">
        <v>48</v>
      </c>
      <c r="C30" s="30"/>
      <c r="D30" s="30"/>
      <c r="E30" s="30"/>
      <c r="F30" s="30"/>
      <c r="G30" s="55"/>
      <c r="H30" s="55"/>
      <c r="I30" s="55"/>
      <c r="J30" s="63">
        <v>0</v>
      </c>
      <c r="K30" s="63">
        <v>0</v>
      </c>
      <c r="L30" s="55">
        <f>'D-E'!L32</f>
        <v>0</v>
      </c>
      <c r="M30" s="55">
        <f>'D-E'!M32</f>
        <v>0</v>
      </c>
      <c r="N30" s="55">
        <f>'D-E'!N32</f>
        <v>0</v>
      </c>
      <c r="O30" s="55">
        <f>'D-E'!O32</f>
        <v>0</v>
      </c>
      <c r="P30" s="55">
        <f>'D-E'!P32</f>
        <v>0</v>
      </c>
      <c r="R30" s="27"/>
      <c r="S30" s="27"/>
    </row>
    <row r="31" spans="1:19" collapsed="1">
      <c r="B31" s="30"/>
      <c r="C31" s="30" t="s">
        <v>49</v>
      </c>
      <c r="D31" s="30"/>
      <c r="E31" s="30"/>
      <c r="F31" s="30"/>
      <c r="G31" s="55"/>
      <c r="H31" s="55"/>
      <c r="I31" s="55"/>
      <c r="J31" s="57">
        <f t="shared" ref="J31:P31" si="8">SUM(J28:J30)</f>
        <v>0</v>
      </c>
      <c r="K31" s="57">
        <f t="shared" ref="K31" si="9">SUM(K28:K30)</f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 t="shared" si="8"/>
        <v>0</v>
      </c>
      <c r="P31" s="56">
        <f t="shared" si="8"/>
        <v>0</v>
      </c>
      <c r="R31" s="27"/>
      <c r="S31" s="27"/>
    </row>
    <row r="32" spans="1:19">
      <c r="B32" s="30"/>
      <c r="C32" s="30"/>
      <c r="D32" s="30"/>
      <c r="E32" s="30"/>
      <c r="F32" s="30"/>
      <c r="G32" s="34"/>
      <c r="H32" s="34"/>
      <c r="I32" s="34"/>
      <c r="J32" s="35"/>
      <c r="K32" s="35"/>
      <c r="L32" s="34"/>
      <c r="M32" s="34"/>
      <c r="N32" s="34"/>
      <c r="O32" s="34"/>
      <c r="P32" s="34"/>
      <c r="S32" s="27"/>
    </row>
    <row r="33" spans="1:16">
      <c r="A33" s="4" t="s">
        <v>0</v>
      </c>
      <c r="B33" s="30" t="s">
        <v>50</v>
      </c>
      <c r="C33" s="30"/>
      <c r="D33" s="30"/>
      <c r="E33" s="30"/>
      <c r="F33" s="30"/>
      <c r="G33" s="93"/>
      <c r="H33" s="93"/>
      <c r="I33" s="93"/>
      <c r="J33" s="94">
        <f t="shared" ref="J33:P33" si="10">J31+J26</f>
        <v>0</v>
      </c>
      <c r="K33" s="94">
        <f t="shared" ref="K33" si="11">K31+K26</f>
        <v>631.54731000000004</v>
      </c>
      <c r="L33" s="93">
        <f t="shared" si="10"/>
        <v>24.102739726027394</v>
      </c>
      <c r="M33" s="93">
        <f t="shared" si="10"/>
        <v>136.10958904109589</v>
      </c>
      <c r="N33" s="93">
        <f t="shared" si="10"/>
        <v>382.8082191780822</v>
      </c>
      <c r="O33" s="93">
        <f t="shared" si="10"/>
        <v>957.02054794520541</v>
      </c>
      <c r="P33" s="93">
        <f t="shared" si="10"/>
        <v>1818.3390410958903</v>
      </c>
    </row>
    <row r="34" spans="1:16">
      <c r="B34" s="30"/>
      <c r="C34" s="30"/>
      <c r="D34" s="30"/>
      <c r="E34" s="30"/>
      <c r="F34" s="30"/>
      <c r="G34" s="34"/>
      <c r="H34" s="34"/>
      <c r="I34" s="34"/>
      <c r="J34" s="35"/>
      <c r="K34" s="35"/>
      <c r="L34" s="34"/>
      <c r="M34" s="34"/>
      <c r="N34" s="34"/>
      <c r="O34" s="34"/>
      <c r="P34" s="34"/>
    </row>
    <row r="35" spans="1:16">
      <c r="B35" s="30" t="s">
        <v>51</v>
      </c>
      <c r="C35" s="30"/>
      <c r="D35" s="30"/>
      <c r="E35" s="30"/>
      <c r="F35" s="30"/>
      <c r="G35" s="55"/>
      <c r="H35" s="55"/>
      <c r="I35" s="55"/>
      <c r="J35" s="63"/>
      <c r="K35" s="141">
        <f>Buildup_BS!B37/1000</f>
        <v>-28.00517</v>
      </c>
      <c r="L35" s="55">
        <f ca="1">'D-E'!L76</f>
        <v>-731.83393489862431</v>
      </c>
      <c r="M35" s="55">
        <f ca="1">'D-E'!M76</f>
        <v>-151.49882721019276</v>
      </c>
      <c r="N35" s="55">
        <f ca="1">'D-E'!N76</f>
        <v>-812.76122058959345</v>
      </c>
      <c r="O35" s="55">
        <f ca="1">'D-E'!O76</f>
        <v>-383.92265479405722</v>
      </c>
      <c r="P35" s="55">
        <f ca="1">'D-E'!P76</f>
        <v>1408.8792347620565</v>
      </c>
    </row>
    <row r="36" spans="1:16">
      <c r="B36" s="30"/>
      <c r="C36" s="30"/>
      <c r="D36" s="30"/>
      <c r="E36" s="30"/>
      <c r="F36" s="30"/>
      <c r="G36" s="34"/>
      <c r="H36" s="34"/>
      <c r="I36" s="34"/>
      <c r="J36" s="35"/>
      <c r="K36" s="35"/>
      <c r="L36" s="34"/>
      <c r="M36" s="34"/>
      <c r="N36" s="34"/>
      <c r="O36" s="34"/>
      <c r="P36" s="34"/>
    </row>
    <row r="37" spans="1:16">
      <c r="A37" s="4" t="s">
        <v>0</v>
      </c>
      <c r="B37" s="33" t="s">
        <v>52</v>
      </c>
      <c r="C37" s="30"/>
      <c r="D37" s="30"/>
      <c r="E37" s="30"/>
      <c r="F37" s="30"/>
      <c r="G37" s="46"/>
      <c r="H37" s="46"/>
      <c r="I37" s="46"/>
      <c r="J37" s="91">
        <f t="shared" ref="J37:P37" si="12">J35+J33</f>
        <v>0</v>
      </c>
      <c r="K37" s="91">
        <f t="shared" ref="K37" si="13">K35+K33</f>
        <v>603.54214000000002</v>
      </c>
      <c r="L37" s="46">
        <f t="shared" ca="1" si="12"/>
        <v>-707.73119517259693</v>
      </c>
      <c r="M37" s="46">
        <f t="shared" ca="1" si="12"/>
        <v>-15.38923816909687</v>
      </c>
      <c r="N37" s="46">
        <f t="shared" ca="1" si="12"/>
        <v>-429.95300141151125</v>
      </c>
      <c r="O37" s="46">
        <f t="shared" ca="1" si="12"/>
        <v>573.09789315114813</v>
      </c>
      <c r="P37" s="46">
        <f t="shared" ca="1" si="12"/>
        <v>3227.2182758579465</v>
      </c>
    </row>
    <row r="38" spans="1:16">
      <c r="B38" s="39"/>
      <c r="C38" s="39"/>
      <c r="D38" s="39"/>
      <c r="E38" s="39"/>
      <c r="F38" s="39"/>
      <c r="G38" s="39"/>
      <c r="H38" s="39"/>
      <c r="I38" s="39"/>
      <c r="J38" s="40"/>
      <c r="K38" s="40"/>
      <c r="L38" s="39"/>
      <c r="M38" s="95"/>
      <c r="N38" s="95"/>
      <c r="O38" s="95"/>
      <c r="P38" s="95"/>
    </row>
    <row r="39" spans="1:16" hidden="1" outlineLevel="1">
      <c r="C39" s="24" t="s">
        <v>53</v>
      </c>
      <c r="G39" s="28">
        <f t="shared" ref="G39:P39" si="14">G20-G37</f>
        <v>0</v>
      </c>
      <c r="H39" s="28">
        <f t="shared" si="14"/>
        <v>0</v>
      </c>
      <c r="I39" s="28">
        <f t="shared" si="14"/>
        <v>0</v>
      </c>
      <c r="J39" s="28">
        <f t="shared" si="14"/>
        <v>0</v>
      </c>
      <c r="K39" s="28">
        <f t="shared" si="14"/>
        <v>0</v>
      </c>
      <c r="L39" s="28">
        <f t="shared" ca="1" si="14"/>
        <v>0</v>
      </c>
      <c r="M39" s="28">
        <f t="shared" ca="1" si="14"/>
        <v>5.6843418860808015E-14</v>
      </c>
      <c r="N39" s="28">
        <f t="shared" ca="1" si="14"/>
        <v>0</v>
      </c>
      <c r="O39" s="28">
        <f t="shared" ca="1" si="14"/>
        <v>0</v>
      </c>
      <c r="P39" s="28">
        <f t="shared" ca="1" si="14"/>
        <v>0</v>
      </c>
    </row>
    <row r="40" spans="1:16" collapsed="1">
      <c r="C40" s="24"/>
      <c r="G40" s="28"/>
      <c r="H40" s="28"/>
      <c r="I40" s="28"/>
      <c r="J40" s="28"/>
      <c r="K40" s="28"/>
      <c r="L40" s="28"/>
      <c r="M40" s="28"/>
      <c r="N40" s="28"/>
      <c r="O40" s="28"/>
      <c r="P40" s="28"/>
    </row>
  </sheetData>
  <pageMargins left="0.25" right="0.25" top="0.25" bottom="0.25" header="0.3" footer="0.3"/>
  <pageSetup scale="90" firstPageNumber="6" orientation="landscape" useFirstPageNumber="1" verticalDpi="1200" r:id="rId1"/>
  <headerFooter scaleWithDoc="0" alignWithMargins="0">
    <oddFooter>&amp;L&amp;G&amp;C&amp;"Calibri,Regular"Confidential Draft - For Internal Review Only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3300"/>
  </sheetPr>
  <dimension ref="A2:O29"/>
  <sheetViews>
    <sheetView showGridLines="0" view="pageBreakPreview" zoomScaleSheetLayoutView="100" workbookViewId="0">
      <selection activeCell="K9" sqref="K9"/>
    </sheetView>
  </sheetViews>
  <sheetFormatPr defaultColWidth="9.109375" defaultRowHeight="13.8"/>
  <cols>
    <col min="1" max="1" width="5.6640625" style="4" customWidth="1"/>
    <col min="2" max="4" width="2.6640625" style="3" customWidth="1"/>
    <col min="5" max="15" width="11.6640625" style="3" customWidth="1"/>
    <col min="16" max="16" width="5.6640625" style="3" customWidth="1"/>
    <col min="17" max="16384" width="9.109375" style="3"/>
  </cols>
  <sheetData>
    <row r="2" spans="1:15" ht="27.6">
      <c r="B2" s="268" t="s">
        <v>31</v>
      </c>
    </row>
    <row r="4" spans="1:15" ht="22.8">
      <c r="B4" s="6" t="s">
        <v>55</v>
      </c>
    </row>
    <row r="5" spans="1: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1"/>
      <c r="B6" s="48" t="str">
        <f>Inputs!D8</f>
        <v>In thousands of dollars (000)</v>
      </c>
      <c r="C6" s="36"/>
      <c r="D6" s="36"/>
      <c r="E6" s="36"/>
      <c r="F6" s="36"/>
      <c r="G6" s="36"/>
      <c r="H6" s="36"/>
      <c r="I6" s="36"/>
      <c r="J6" s="36"/>
      <c r="K6" s="96" t="str">
        <f>"Projections ending "&amp;TEXT(Inputs!D9,"mmm dd")&amp;","</f>
        <v>Projections ending Dec 31,</v>
      </c>
      <c r="L6" s="50"/>
      <c r="M6" s="50"/>
      <c r="N6" s="50"/>
      <c r="O6" s="50"/>
    </row>
    <row r="7" spans="1:15">
      <c r="A7" s="1"/>
      <c r="B7" s="48"/>
      <c r="C7" s="49"/>
      <c r="D7" s="49"/>
      <c r="E7" s="49"/>
      <c r="F7" s="49"/>
      <c r="G7" s="49"/>
      <c r="H7" s="49"/>
      <c r="I7" s="49"/>
      <c r="J7" s="49"/>
      <c r="K7" s="89">
        <f>IncomeStatement!L7</f>
        <v>2011</v>
      </c>
      <c r="L7" s="89">
        <f>IncomeStatement!M7</f>
        <v>2012</v>
      </c>
      <c r="M7" s="89">
        <f>IncomeStatement!N7</f>
        <v>2013</v>
      </c>
      <c r="N7" s="89">
        <f>IncomeStatement!O7</f>
        <v>2014</v>
      </c>
      <c r="O7" s="89">
        <f>IncomeStatement!P7</f>
        <v>2015</v>
      </c>
    </row>
    <row r="8" spans="1:15">
      <c r="B8" s="30"/>
      <c r="C8" s="30"/>
      <c r="D8" s="30"/>
      <c r="E8" s="30"/>
      <c r="F8" s="30"/>
      <c r="G8" s="30"/>
      <c r="H8" s="30"/>
      <c r="I8" s="30"/>
      <c r="J8" s="30"/>
      <c r="K8" s="34"/>
      <c r="L8" s="34"/>
      <c r="M8" s="34"/>
      <c r="N8" s="34"/>
      <c r="O8" s="34"/>
    </row>
    <row r="9" spans="1:15">
      <c r="A9" s="4" t="s">
        <v>0</v>
      </c>
      <c r="B9" s="30" t="s">
        <v>123</v>
      </c>
      <c r="C9" s="30"/>
      <c r="D9" s="30"/>
      <c r="E9" s="30"/>
      <c r="F9" s="30"/>
      <c r="G9" s="30"/>
      <c r="H9" s="30"/>
      <c r="I9" s="30"/>
      <c r="J9" s="30"/>
      <c r="K9" s="55">
        <f ca="1">IncomeStatement!L24</f>
        <v>-703.82876489862429</v>
      </c>
      <c r="L9" s="55">
        <f ca="1">IncomeStatement!M24</f>
        <v>-919.66489231156845</v>
      </c>
      <c r="M9" s="55">
        <f ca="1">IncomeStatement!N24</f>
        <v>-661.26239337940069</v>
      </c>
      <c r="N9" s="55">
        <f ca="1">IncomeStatement!O24</f>
        <v>428.83856579553623</v>
      </c>
      <c r="O9" s="55">
        <f ca="1">IncomeStatement!P24</f>
        <v>1792.8018895561138</v>
      </c>
    </row>
    <row r="10" spans="1:15"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55">
        <f>'D&amp;A'!L30+'D&amp;A'!L58</f>
        <v>15.454655000000002</v>
      </c>
      <c r="L10" s="55">
        <f>'D&amp;A'!M30+'D&amp;A'!M58</f>
        <v>17.356436666666667</v>
      </c>
      <c r="M10" s="55">
        <f>'D&amp;A'!N30+'D&amp;A'!N58</f>
        <v>33.012218333333337</v>
      </c>
      <c r="N10" s="55">
        <f>'D&amp;A'!O30+'D&amp;A'!O58</f>
        <v>76.682000000000016</v>
      </c>
      <c r="O10" s="55">
        <f>'D&amp;A'!P30+'D&amp;A'!P58</f>
        <v>167.55914000000001</v>
      </c>
    </row>
    <row r="11" spans="1:15">
      <c r="B11" s="30" t="s">
        <v>139</v>
      </c>
      <c r="C11" s="30"/>
      <c r="D11" s="30"/>
      <c r="E11" s="30"/>
      <c r="F11" s="30"/>
      <c r="G11" s="30"/>
      <c r="H11" s="30"/>
      <c r="I11" s="30"/>
      <c r="J11" s="30"/>
      <c r="K11" s="55">
        <f>'D-E'!L75</f>
        <v>0</v>
      </c>
      <c r="L11" s="55">
        <f>'D-E'!M75</f>
        <v>0</v>
      </c>
      <c r="M11" s="55">
        <f>'D-E'!N75</f>
        <v>0</v>
      </c>
      <c r="N11" s="55">
        <f>'D-E'!O75</f>
        <v>0</v>
      </c>
      <c r="O11" s="55">
        <f>'D-E'!P75</f>
        <v>0</v>
      </c>
    </row>
    <row r="12" spans="1:15">
      <c r="B12" s="30" t="s">
        <v>124</v>
      </c>
      <c r="C12" s="30"/>
      <c r="D12" s="30"/>
      <c r="E12" s="30"/>
      <c r="F12" s="30"/>
      <c r="G12" s="30"/>
      <c r="H12" s="30"/>
      <c r="I12" s="30"/>
      <c r="J12" s="30"/>
      <c r="K12" s="55">
        <f>WC!M21</f>
        <v>14.650684931506847</v>
      </c>
      <c r="L12" s="55">
        <f>WC!N21</f>
        <v>64.746575342465761</v>
      </c>
      <c r="M12" s="55">
        <f>WC!O21</f>
        <v>133.27397260273972</v>
      </c>
      <c r="N12" s="55">
        <f>WC!P21</f>
        <v>319.00684931506839</v>
      </c>
      <c r="O12" s="55">
        <f>WC!Q21</f>
        <v>478.5102739726027</v>
      </c>
    </row>
    <row r="13" spans="1:15">
      <c r="A13" s="4" t="s">
        <v>0</v>
      </c>
      <c r="B13" s="30"/>
      <c r="C13" s="33" t="s">
        <v>57</v>
      </c>
      <c r="D13" s="30"/>
      <c r="E13" s="30"/>
      <c r="F13" s="30"/>
      <c r="G13" s="30"/>
      <c r="H13" s="30"/>
      <c r="I13" s="30"/>
      <c r="J13" s="30"/>
      <c r="K13" s="97">
        <f ca="1">SUM(K9:K12)</f>
        <v>-673.72342496711747</v>
      </c>
      <c r="L13" s="97">
        <f ca="1">SUM(L9:L12)</f>
        <v>-837.56188030243595</v>
      </c>
      <c r="M13" s="97">
        <f ca="1">SUM(M9:M12)</f>
        <v>-494.97620244332768</v>
      </c>
      <c r="N13" s="97">
        <f ca="1">SUM(N9:N12)</f>
        <v>824.52741511060458</v>
      </c>
      <c r="O13" s="97">
        <f ca="1">SUM(O9:O12)</f>
        <v>2438.8713035287165</v>
      </c>
    </row>
    <row r="14" spans="1:15">
      <c r="B14" s="30"/>
      <c r="C14" s="30"/>
      <c r="D14" s="30"/>
      <c r="E14" s="30"/>
      <c r="F14" s="30"/>
      <c r="G14" s="30"/>
      <c r="H14" s="30"/>
      <c r="I14" s="30"/>
      <c r="J14" s="30"/>
      <c r="K14" s="34"/>
      <c r="L14" s="34"/>
      <c r="M14" s="34"/>
      <c r="N14" s="34"/>
      <c r="O14" s="34"/>
    </row>
    <row r="15" spans="1:15">
      <c r="B15" s="30" t="s">
        <v>125</v>
      </c>
      <c r="C15" s="30"/>
      <c r="D15" s="30"/>
      <c r="E15" s="30"/>
      <c r="F15" s="30"/>
      <c r="G15" s="30"/>
      <c r="H15" s="30"/>
      <c r="I15" s="30"/>
      <c r="J15" s="30"/>
      <c r="K15" s="64">
        <f>-'D&amp;A'!L6</f>
        <v>-11.5</v>
      </c>
      <c r="L15" s="64">
        <f>-'D&amp;A'!M6</f>
        <v>-55.2</v>
      </c>
      <c r="M15" s="64">
        <f>-'D&amp;A'!N6</f>
        <v>-149.04000000000002</v>
      </c>
      <c r="N15" s="64">
        <f>-'D&amp;A'!O6</f>
        <v>-335.34000000000003</v>
      </c>
      <c r="O15" s="64">
        <f>-'D&amp;A'!P6</f>
        <v>-573.43140000000005</v>
      </c>
    </row>
    <row r="16" spans="1:15">
      <c r="B16" s="30" t="s">
        <v>126</v>
      </c>
      <c r="C16" s="30"/>
      <c r="D16" s="30"/>
      <c r="E16" s="30"/>
      <c r="F16" s="30"/>
      <c r="G16" s="30"/>
      <c r="H16" s="30"/>
      <c r="I16" s="30"/>
      <c r="J16" s="30"/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1:15">
      <c r="B17" s="30" t="s">
        <v>127</v>
      </c>
      <c r="C17" s="30"/>
      <c r="D17" s="30"/>
      <c r="E17" s="30"/>
      <c r="F17" s="30"/>
      <c r="G17" s="30"/>
      <c r="H17" s="30"/>
      <c r="I17" s="30"/>
      <c r="J17" s="30"/>
      <c r="K17" s="55">
        <f>-'D&amp;A'!L39</f>
        <v>0</v>
      </c>
      <c r="L17" s="55">
        <f>-'D&amp;A'!M39</f>
        <v>0</v>
      </c>
      <c r="M17" s="55">
        <f>-'D&amp;A'!N39</f>
        <v>0</v>
      </c>
      <c r="N17" s="55">
        <f>-'D&amp;A'!O39</f>
        <v>0</v>
      </c>
      <c r="O17" s="55">
        <f>-'D&amp;A'!P39</f>
        <v>0</v>
      </c>
    </row>
    <row r="18" spans="1:15">
      <c r="B18" s="30"/>
      <c r="C18" s="33" t="s">
        <v>59</v>
      </c>
      <c r="D18" s="30"/>
      <c r="E18" s="30"/>
      <c r="F18" s="30"/>
      <c r="G18" s="30"/>
      <c r="H18" s="30"/>
      <c r="I18" s="30"/>
      <c r="J18" s="30"/>
      <c r="K18" s="97">
        <f>SUM(K15:K17)</f>
        <v>-11.5</v>
      </c>
      <c r="L18" s="97">
        <f>SUM(L15:L17)</f>
        <v>-55.2</v>
      </c>
      <c r="M18" s="97">
        <f>SUM(M15:M17)</f>
        <v>-149.04000000000002</v>
      </c>
      <c r="N18" s="97">
        <f>SUM(N15:N17)</f>
        <v>-335.34000000000003</v>
      </c>
      <c r="O18" s="97">
        <f>SUM(O15:O17)</f>
        <v>-573.43140000000005</v>
      </c>
    </row>
    <row r="19" spans="1:15"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4"/>
      <c r="O19" s="34"/>
    </row>
    <row r="20" spans="1:15">
      <c r="A20" s="4" t="s">
        <v>0</v>
      </c>
      <c r="B20" s="33" t="s">
        <v>60</v>
      </c>
      <c r="C20" s="30"/>
      <c r="D20" s="30"/>
      <c r="E20" s="30"/>
      <c r="F20" s="30"/>
      <c r="G20" s="30"/>
      <c r="H20" s="30"/>
      <c r="I20" s="30"/>
      <c r="J20" s="30"/>
      <c r="K20" s="46">
        <f ca="1">K13+K18</f>
        <v>-685.22342496711747</v>
      </c>
      <c r="L20" s="46">
        <f ca="1">L13+L18</f>
        <v>-892.761880302436</v>
      </c>
      <c r="M20" s="46">
        <f ca="1">M13+M18</f>
        <v>-644.01620244332776</v>
      </c>
      <c r="N20" s="46">
        <f ca="1">N13+N18</f>
        <v>489.18741511060455</v>
      </c>
      <c r="O20" s="46">
        <f ca="1">O13+O18</f>
        <v>1865.4399035287165</v>
      </c>
    </row>
    <row r="21" spans="1:15"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4"/>
      <c r="N21" s="34"/>
      <c r="O21" s="34"/>
    </row>
    <row r="22" spans="1:15">
      <c r="B22" s="98" t="s">
        <v>128</v>
      </c>
      <c r="C22" s="30"/>
      <c r="D22" s="30"/>
      <c r="E22" s="30"/>
      <c r="F22" s="30"/>
      <c r="G22" s="30"/>
      <c r="H22" s="30"/>
      <c r="I22" s="30"/>
      <c r="J22" s="30"/>
      <c r="K22" s="64">
        <f>SUM('D-E'!L73:L74)</f>
        <v>0</v>
      </c>
      <c r="L22" s="64">
        <f>SUM('D-E'!M73:M74)</f>
        <v>1500</v>
      </c>
      <c r="M22" s="64">
        <f>SUM('D-E'!N73:N74)</f>
        <v>0</v>
      </c>
      <c r="N22" s="64">
        <f>SUM('D-E'!O73:O74)</f>
        <v>0</v>
      </c>
      <c r="O22" s="64">
        <f>SUM('D-E'!P73:P74)</f>
        <v>0</v>
      </c>
    </row>
    <row r="23" spans="1:15">
      <c r="B23" s="98" t="s">
        <v>129</v>
      </c>
      <c r="C23" s="30"/>
      <c r="D23" s="30"/>
      <c r="E23" s="30"/>
      <c r="F23" s="30"/>
      <c r="G23" s="30"/>
      <c r="H23" s="30"/>
      <c r="I23" s="30"/>
      <c r="J23" s="30"/>
      <c r="K23" s="64">
        <f>SUM('D-E'!L10:L11)</f>
        <v>-631.54731000000004</v>
      </c>
      <c r="L23" s="64">
        <f>SUM('D-E'!M10:M11)</f>
        <v>0</v>
      </c>
      <c r="M23" s="64">
        <f>SUM('D-E'!N10:N11)</f>
        <v>0</v>
      </c>
      <c r="N23" s="64">
        <f>SUM('D-E'!O10:O11)</f>
        <v>0</v>
      </c>
      <c r="O23" s="64">
        <f>SUM('D-E'!P10:P11)</f>
        <v>0</v>
      </c>
    </row>
    <row r="24" spans="1:15">
      <c r="A24" s="4" t="s">
        <v>0</v>
      </c>
      <c r="B24" s="30"/>
      <c r="C24" s="33" t="s">
        <v>61</v>
      </c>
      <c r="D24" s="30"/>
      <c r="E24" s="30"/>
      <c r="F24" s="30"/>
      <c r="G24" s="30"/>
      <c r="H24" s="30"/>
      <c r="I24" s="30"/>
      <c r="J24" s="30"/>
      <c r="K24" s="97">
        <f>SUM(K22:K23)</f>
        <v>-631.54731000000004</v>
      </c>
      <c r="L24" s="97">
        <f>SUM(L22:L23)</f>
        <v>1500</v>
      </c>
      <c r="M24" s="97">
        <f>SUM(M22:M23)</f>
        <v>0</v>
      </c>
      <c r="N24" s="97">
        <f>SUM(N22:N23)</f>
        <v>0</v>
      </c>
      <c r="O24" s="97">
        <f>SUM(O22:O23)</f>
        <v>0</v>
      </c>
    </row>
    <row r="25" spans="1:15">
      <c r="B25" s="30"/>
      <c r="C25" s="30"/>
      <c r="D25" s="30"/>
      <c r="E25" s="30"/>
      <c r="F25" s="30"/>
      <c r="G25" s="30"/>
      <c r="H25" s="30"/>
      <c r="I25" s="30"/>
      <c r="J25" s="30"/>
      <c r="K25" s="34"/>
      <c r="L25" s="34"/>
      <c r="M25" s="34"/>
      <c r="N25" s="34"/>
      <c r="O25" s="34"/>
    </row>
    <row r="26" spans="1:15">
      <c r="B26" s="33" t="s">
        <v>62</v>
      </c>
      <c r="C26" s="30"/>
      <c r="D26" s="30"/>
      <c r="E26" s="30"/>
      <c r="F26" s="30"/>
      <c r="G26" s="30"/>
      <c r="H26" s="30"/>
      <c r="I26" s="30"/>
      <c r="J26" s="30"/>
      <c r="K26" s="46">
        <f ca="1">K24+K20</f>
        <v>-1316.7707349671175</v>
      </c>
      <c r="L26" s="46">
        <f ca="1">L24+L20</f>
        <v>607.238119697564</v>
      </c>
      <c r="M26" s="46">
        <f ca="1">M24+M20</f>
        <v>-644.01620244332776</v>
      </c>
      <c r="N26" s="46">
        <f ca="1">N24+N20</f>
        <v>489.18741511060455</v>
      </c>
      <c r="O26" s="46">
        <f ca="1">O24+O20</f>
        <v>1865.4399035287165</v>
      </c>
    </row>
    <row r="27" spans="1:15">
      <c r="B27" s="30"/>
      <c r="C27" s="30" t="s">
        <v>63</v>
      </c>
      <c r="D27" s="30"/>
      <c r="E27" s="30"/>
      <c r="F27" s="30"/>
      <c r="G27" s="30"/>
      <c r="H27" s="30"/>
      <c r="I27" s="30"/>
      <c r="J27" s="30"/>
      <c r="K27" s="53">
        <f>BalanceSheet!K9</f>
        <v>570.19756000000007</v>
      </c>
      <c r="L27" s="53">
        <f ca="1">K28</f>
        <v>-746.57317496711744</v>
      </c>
      <c r="M27" s="53">
        <f ca="1">L28</f>
        <v>-139.33505526955344</v>
      </c>
      <c r="N27" s="53">
        <f ca="1">M28</f>
        <v>-783.35125771288119</v>
      </c>
      <c r="O27" s="53">
        <f ca="1">N28</f>
        <v>-294.16384260227665</v>
      </c>
    </row>
    <row r="28" spans="1:15">
      <c r="A28" s="4" t="s">
        <v>0</v>
      </c>
      <c r="B28" s="30"/>
      <c r="C28" s="30" t="s">
        <v>64</v>
      </c>
      <c r="D28" s="30"/>
      <c r="E28" s="30"/>
      <c r="F28" s="30"/>
      <c r="G28" s="30"/>
      <c r="H28" s="30"/>
      <c r="I28" s="30"/>
      <c r="J28" s="30"/>
      <c r="K28" s="53">
        <f ca="1">K26+K27</f>
        <v>-746.57317496711744</v>
      </c>
      <c r="L28" s="53">
        <f ca="1">L26+L27</f>
        <v>-139.33505526955344</v>
      </c>
      <c r="M28" s="53">
        <f ca="1">M26+M27</f>
        <v>-783.35125771288119</v>
      </c>
      <c r="N28" s="53">
        <f ca="1">N26+N27</f>
        <v>-294.16384260227665</v>
      </c>
      <c r="O28" s="53">
        <f ca="1">O26+O27</f>
        <v>1571.2760609264399</v>
      </c>
    </row>
    <row r="29" spans="1:1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</sheetData>
  <pageMargins left="0.25" right="0.25" top="0.25" bottom="0.25" header="0.3" footer="0.3"/>
  <pageSetup scale="90" firstPageNumber="7" orientation="landscape" useFirstPageNumber="1" verticalDpi="1200" r:id="rId1"/>
  <headerFooter scaleWithDoc="0" alignWithMargins="0">
    <oddFooter>&amp;L&amp;G&amp;C&amp;"Calibri,Regular"Confidential Draft - For Internal Review Only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Cap Table - All Securityholders</vt:lpstr>
      <vt:lpstr>Series A Summary Cap Table</vt:lpstr>
      <vt:lpstr>Series A Holders</vt:lpstr>
      <vt:lpstr>Buildup_BS</vt:lpstr>
      <vt:lpstr>Buildup_IS</vt:lpstr>
      <vt:lpstr>Inputs</vt:lpstr>
      <vt:lpstr>IncomeStatement</vt:lpstr>
      <vt:lpstr>BalanceSheet</vt:lpstr>
      <vt:lpstr>CashFlow</vt:lpstr>
      <vt:lpstr>D&amp;A</vt:lpstr>
      <vt:lpstr>WC</vt:lpstr>
      <vt:lpstr>D-E</vt:lpstr>
      <vt:lpstr>BalanceSheet!Print_Area</vt:lpstr>
      <vt:lpstr>'Cap Table - All Securityholders'!Print_Area</vt:lpstr>
      <vt:lpstr>CashFlow!Print_Area</vt:lpstr>
      <vt:lpstr>IncomeStatement!Print_Area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Miller</dc:creator>
  <cp:lastModifiedBy>Ana Martin</cp:lastModifiedBy>
  <cp:lastPrinted>2011-03-10T03:47:15Z</cp:lastPrinted>
  <dcterms:created xsi:type="dcterms:W3CDTF">2010-10-25T18:22:05Z</dcterms:created>
  <dcterms:modified xsi:type="dcterms:W3CDTF">2019-09-19T19:39:48Z</dcterms:modified>
</cp:coreProperties>
</file>